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mc:AlternateContent xmlns:mc="http://schemas.openxmlformats.org/markup-compatibility/2006">
    <mc:Choice Requires="x15">
      <x15ac:absPath xmlns:x15ac="http://schemas.microsoft.com/office/spreadsheetml/2010/11/ac" url="O:\Katras\"/>
    </mc:Choice>
  </mc:AlternateContent>
  <bookViews>
    <workbookView xWindow="0" yWindow="0" windowWidth="20490" windowHeight="7530"/>
  </bookViews>
  <sheets>
    <sheet name="Lähtötiedot" sheetId="9" r:id="rId1"/>
    <sheet name="Ruokinta" sheetId="2" r:id="rId2"/>
    <sheet name="Kasvuapu" sheetId="14" state="hidden" r:id="rId3"/>
    <sheet name="Tilan tarve" sheetId="3" r:id="rId4"/>
    <sheet name="Ruokinnan kustannukset" sheetId="6" r:id="rId5"/>
    <sheet name="Työkustannukset" sheetId="10" r:id="rId6"/>
    <sheet name="Kuivituskustannukset" sheetId="12" r:id="rId7"/>
    <sheet name="Uudistus &amp; muut kust." sheetId="13" r:id="rId8"/>
    <sheet name="Myyntituotot" sheetId="8" r:id="rId9"/>
    <sheet name="Eläintuet &amp; palkkiot" sheetId="5" r:id="rId10"/>
    <sheet name="Katevertailu" sheetId="1" r:id="rId11"/>
  </sheets>
  <calcPr calcId="162913" iterate="1"/>
</workbook>
</file>

<file path=xl/calcChain.xml><?xml version="1.0" encoding="utf-8"?>
<calcChain xmlns="http://schemas.openxmlformats.org/spreadsheetml/2006/main">
  <c r="D29" i="3" l="1"/>
  <c r="D27" i="3"/>
  <c r="C8" i="5"/>
  <c r="R40" i="5" s="1"/>
  <c r="H8" i="5" l="1"/>
  <c r="M8" i="5"/>
  <c r="W40" i="5"/>
  <c r="R8" i="5"/>
  <c r="W8" i="5"/>
  <c r="C35" i="10"/>
  <c r="I35" i="13"/>
  <c r="C36" i="13"/>
  <c r="H15" i="6" l="1"/>
  <c r="I14" i="6"/>
  <c r="I15" i="6"/>
  <c r="I16" i="6"/>
  <c r="I17" i="6"/>
  <c r="I18" i="6"/>
  <c r="I19" i="6"/>
  <c r="I20" i="6"/>
  <c r="I21" i="6"/>
  <c r="I22" i="6"/>
  <c r="I23" i="6"/>
  <c r="I24" i="6"/>
  <c r="C27" i="9" l="1"/>
  <c r="E58" i="2" l="1"/>
  <c r="G14" i="2"/>
  <c r="G32" i="2"/>
  <c r="X63" i="5"/>
  <c r="S63" i="5"/>
  <c r="X62" i="5"/>
  <c r="S62" i="5"/>
  <c r="X47" i="5"/>
  <c r="S47" i="5"/>
  <c r="X46" i="5"/>
  <c r="S46" i="5"/>
  <c r="D30" i="5"/>
  <c r="D29" i="5"/>
  <c r="D15" i="5"/>
  <c r="D14" i="5"/>
  <c r="H13" i="6"/>
  <c r="Q50" i="8" l="1"/>
  <c r="V50" i="8"/>
  <c r="V22" i="8"/>
  <c r="Q22" i="8"/>
  <c r="L22" i="8"/>
  <c r="Q47" i="8"/>
  <c r="V47" i="8"/>
  <c r="V19" i="8"/>
  <c r="Q19" i="8"/>
  <c r="L19" i="8"/>
  <c r="G22" i="8"/>
  <c r="G19" i="8"/>
  <c r="W47" i="8"/>
  <c r="R47" i="8"/>
  <c r="W19" i="8"/>
  <c r="X19" i="8" s="1"/>
  <c r="R19" i="8"/>
  <c r="M19" i="8"/>
  <c r="H19" i="8"/>
  <c r="C19" i="8"/>
  <c r="D19" i="8" s="1"/>
  <c r="C7" i="8"/>
  <c r="C22" i="8" s="1"/>
  <c r="D22" i="8" s="1"/>
  <c r="O48" i="9"/>
  <c r="S48" i="9"/>
  <c r="G52" i="2"/>
  <c r="G42" i="2"/>
  <c r="G51" i="2"/>
  <c r="G41" i="2"/>
  <c r="G44" i="2"/>
  <c r="G35" i="2"/>
  <c r="G43" i="2"/>
  <c r="G34" i="2"/>
  <c r="G33" i="2"/>
  <c r="F44" i="2"/>
  <c r="F43" i="2"/>
  <c r="F34" i="2"/>
  <c r="F35" i="2"/>
  <c r="S19" i="8" l="1"/>
  <c r="S47" i="8"/>
  <c r="N19" i="8"/>
  <c r="I19" i="8"/>
  <c r="BM187" i="2" l="1"/>
  <c r="BM188" i="2"/>
  <c r="BM189" i="2"/>
  <c r="BM190" i="2"/>
  <c r="BM191" i="2"/>
  <c r="BM192" i="2"/>
  <c r="AY188" i="2"/>
  <c r="AY189" i="2"/>
  <c r="AY190" i="2"/>
  <c r="AY191" i="2"/>
  <c r="AY192" i="2"/>
  <c r="AY187" i="2"/>
  <c r="BM69" i="2"/>
  <c r="BM70" i="2"/>
  <c r="BM71" i="2"/>
  <c r="BM72" i="2"/>
  <c r="BM73" i="2"/>
  <c r="BM74" i="2"/>
  <c r="BM68" i="2"/>
  <c r="AY69" i="2"/>
  <c r="AY70" i="2"/>
  <c r="AY71" i="2"/>
  <c r="AY72" i="2"/>
  <c r="AY73" i="2"/>
  <c r="AY74" i="2"/>
  <c r="AY68" i="2"/>
  <c r="BQ211" i="2"/>
  <c r="BQ212" i="2"/>
  <c r="BQ213" i="2"/>
  <c r="BQ214" i="2"/>
  <c r="BQ215" i="2"/>
  <c r="BQ210" i="2"/>
  <c r="BN211" i="2"/>
  <c r="BN212" i="2"/>
  <c r="BN213" i="2"/>
  <c r="BN214" i="2"/>
  <c r="BN215" i="2"/>
  <c r="BN210" i="2"/>
  <c r="BM211" i="2"/>
  <c r="BM212" i="2"/>
  <c r="BM213" i="2"/>
  <c r="BM214" i="2"/>
  <c r="BM215" i="2"/>
  <c r="BM210" i="2"/>
  <c r="BL211" i="2"/>
  <c r="BL212" i="2"/>
  <c r="BL213" i="2"/>
  <c r="BL214" i="2"/>
  <c r="BL215" i="2"/>
  <c r="BL210" i="2"/>
  <c r="BQ200" i="2"/>
  <c r="BQ201" i="2"/>
  <c r="BQ202" i="2"/>
  <c r="BQ203" i="2"/>
  <c r="BQ204" i="2"/>
  <c r="BQ205" i="2"/>
  <c r="BQ199" i="2"/>
  <c r="BQ188" i="2"/>
  <c r="BQ189" i="2"/>
  <c r="BQ190" i="2"/>
  <c r="BQ191" i="2"/>
  <c r="BQ192" i="2"/>
  <c r="BQ193" i="2"/>
  <c r="BQ187" i="2"/>
  <c r="BN188" i="2"/>
  <c r="BN189" i="2"/>
  <c r="BN190" i="2"/>
  <c r="BN191" i="2"/>
  <c r="BN192" i="2"/>
  <c r="BN193" i="2"/>
  <c r="BN187" i="2"/>
  <c r="BM193" i="2"/>
  <c r="BL188" i="2"/>
  <c r="BL189" i="2"/>
  <c r="BL190" i="2"/>
  <c r="BL191" i="2"/>
  <c r="BL192" i="2"/>
  <c r="BL193" i="2"/>
  <c r="BL187" i="2"/>
  <c r="BC211" i="2"/>
  <c r="BC212" i="2"/>
  <c r="BC213" i="2"/>
  <c r="BC214" i="2"/>
  <c r="BC215" i="2"/>
  <c r="BC210" i="2"/>
  <c r="AZ211" i="2"/>
  <c r="AZ212" i="2"/>
  <c r="AZ213" i="2"/>
  <c r="AZ214" i="2"/>
  <c r="AZ215" i="2"/>
  <c r="AZ210" i="2"/>
  <c r="AY211" i="2"/>
  <c r="AY212" i="2"/>
  <c r="AY213" i="2"/>
  <c r="AY214" i="2"/>
  <c r="AY215" i="2"/>
  <c r="AY210" i="2"/>
  <c r="AX211" i="2"/>
  <c r="AX212" i="2"/>
  <c r="AX213" i="2"/>
  <c r="AX214" i="2"/>
  <c r="AX215" i="2"/>
  <c r="AX210" i="2"/>
  <c r="BC200" i="2"/>
  <c r="BC201" i="2"/>
  <c r="BC202" i="2"/>
  <c r="BC203" i="2"/>
  <c r="BC204" i="2"/>
  <c r="BC205" i="2"/>
  <c r="BC199" i="2"/>
  <c r="BC188" i="2"/>
  <c r="BC189" i="2"/>
  <c r="BC190" i="2"/>
  <c r="BC191" i="2"/>
  <c r="BC192" i="2"/>
  <c r="BC193" i="2"/>
  <c r="BC187" i="2"/>
  <c r="AZ188" i="2"/>
  <c r="AZ189" i="2"/>
  <c r="AZ190" i="2"/>
  <c r="AZ191" i="2"/>
  <c r="AZ192" i="2"/>
  <c r="AZ193" i="2"/>
  <c r="AZ187" i="2"/>
  <c r="AY193" i="2"/>
  <c r="AX188" i="2"/>
  <c r="AX189" i="2"/>
  <c r="AX190" i="2"/>
  <c r="AX191" i="2"/>
  <c r="AX192" i="2"/>
  <c r="AX193" i="2"/>
  <c r="AX187" i="2"/>
  <c r="BQ92" i="2"/>
  <c r="BQ93" i="2"/>
  <c r="BQ94" i="2"/>
  <c r="BQ95" i="2"/>
  <c r="BQ96" i="2"/>
  <c r="BQ91" i="2"/>
  <c r="BN92" i="2"/>
  <c r="BN93" i="2"/>
  <c r="BN94" i="2"/>
  <c r="BN95" i="2"/>
  <c r="BN96" i="2"/>
  <c r="BN91" i="2"/>
  <c r="BM92" i="2"/>
  <c r="BM93" i="2"/>
  <c r="BM94" i="2"/>
  <c r="BM95" i="2"/>
  <c r="BM96" i="2"/>
  <c r="BM91" i="2"/>
  <c r="BL92" i="2"/>
  <c r="BL93" i="2"/>
  <c r="BL94" i="2"/>
  <c r="BL95" i="2"/>
  <c r="BL96" i="2"/>
  <c r="BL91" i="2"/>
  <c r="BQ81" i="2"/>
  <c r="BQ82" i="2"/>
  <c r="BQ83" i="2"/>
  <c r="BQ84" i="2"/>
  <c r="BQ85" i="2"/>
  <c r="BQ86" i="2"/>
  <c r="BQ80" i="2"/>
  <c r="BQ69" i="2"/>
  <c r="BQ70" i="2"/>
  <c r="BQ71" i="2"/>
  <c r="BQ72" i="2"/>
  <c r="BQ73" i="2"/>
  <c r="BQ74" i="2"/>
  <c r="BQ68" i="2"/>
  <c r="BN69" i="2"/>
  <c r="BN70" i="2"/>
  <c r="BN71" i="2"/>
  <c r="BN72" i="2"/>
  <c r="BN73" i="2"/>
  <c r="BN74" i="2"/>
  <c r="BN68" i="2"/>
  <c r="BL69" i="2"/>
  <c r="BL70" i="2"/>
  <c r="BL71" i="2"/>
  <c r="BL72" i="2"/>
  <c r="BL73" i="2"/>
  <c r="BL74" i="2"/>
  <c r="BL68" i="2"/>
  <c r="I13" i="6" l="1"/>
  <c r="C9" i="5"/>
  <c r="W41" i="5" l="1"/>
  <c r="R41" i="5"/>
  <c r="W9" i="5"/>
  <c r="R9" i="5"/>
  <c r="M9" i="5"/>
  <c r="D26" i="3"/>
  <c r="G18" i="13" l="1"/>
  <c r="G19" i="13"/>
  <c r="G20" i="13"/>
  <c r="G21" i="13"/>
  <c r="G22" i="13"/>
  <c r="G23" i="13"/>
  <c r="G24" i="13"/>
  <c r="G25" i="13"/>
  <c r="G26" i="13"/>
  <c r="G27" i="13"/>
  <c r="G17" i="13"/>
  <c r="AO92" i="2" l="1"/>
  <c r="AO93" i="2"/>
  <c r="AO94" i="2"/>
  <c r="AO95" i="2"/>
  <c r="AO96" i="2"/>
  <c r="AO91" i="2"/>
  <c r="AO81" i="2"/>
  <c r="AO82" i="2"/>
  <c r="AO83" i="2"/>
  <c r="AO84" i="2"/>
  <c r="AO85" i="2"/>
  <c r="AO86" i="2"/>
  <c r="AO80" i="2"/>
  <c r="AL92" i="2"/>
  <c r="AL93" i="2"/>
  <c r="AL94" i="2"/>
  <c r="AL95" i="2"/>
  <c r="AL96" i="2"/>
  <c r="AL91" i="2"/>
  <c r="AK92" i="2"/>
  <c r="AK93" i="2"/>
  <c r="AK94" i="2"/>
  <c r="AK95" i="2"/>
  <c r="AK96" i="2"/>
  <c r="AK91" i="2"/>
  <c r="AJ92" i="2"/>
  <c r="AJ93" i="2"/>
  <c r="AJ94" i="2"/>
  <c r="AJ95" i="2"/>
  <c r="AJ96" i="2"/>
  <c r="AJ91" i="2"/>
  <c r="AL69" i="2"/>
  <c r="AL70" i="2"/>
  <c r="AL71" i="2"/>
  <c r="AL72" i="2"/>
  <c r="AL73" i="2"/>
  <c r="AL74" i="2"/>
  <c r="AL68" i="2"/>
  <c r="AK69" i="2"/>
  <c r="AK70" i="2"/>
  <c r="AK71" i="2"/>
  <c r="AK72" i="2"/>
  <c r="AK73" i="2"/>
  <c r="AK74" i="2"/>
  <c r="AK68" i="2"/>
  <c r="AJ69" i="2"/>
  <c r="AJ70" i="2"/>
  <c r="AJ71" i="2"/>
  <c r="AJ72" i="2"/>
  <c r="AJ73" i="2"/>
  <c r="AJ74" i="2"/>
  <c r="AJ68" i="2"/>
  <c r="G91" i="2"/>
  <c r="BC92" i="2"/>
  <c r="BC93" i="2"/>
  <c r="BC94" i="2"/>
  <c r="BC95" i="2"/>
  <c r="BC96" i="2"/>
  <c r="BC91" i="2"/>
  <c r="AZ92" i="2"/>
  <c r="AZ93" i="2"/>
  <c r="AZ94" i="2"/>
  <c r="AZ95" i="2"/>
  <c r="AZ96" i="2"/>
  <c r="AZ91" i="2"/>
  <c r="AY92" i="2"/>
  <c r="AY93" i="2"/>
  <c r="AY94" i="2"/>
  <c r="AY95" i="2"/>
  <c r="AY96" i="2"/>
  <c r="AY91" i="2"/>
  <c r="AX92" i="2"/>
  <c r="AX93" i="2"/>
  <c r="AX94" i="2"/>
  <c r="AX95" i="2"/>
  <c r="AX96" i="2"/>
  <c r="AX91" i="2"/>
  <c r="BC81" i="2"/>
  <c r="BC82" i="2"/>
  <c r="BC83" i="2"/>
  <c r="BC84" i="2"/>
  <c r="BC85" i="2"/>
  <c r="BC86" i="2"/>
  <c r="BC80" i="2"/>
  <c r="BC69" i="2"/>
  <c r="BC70" i="2"/>
  <c r="BC71" i="2"/>
  <c r="BC72" i="2"/>
  <c r="BC73" i="2"/>
  <c r="BC74" i="2"/>
  <c r="BC68" i="2"/>
  <c r="AZ69" i="2"/>
  <c r="AZ70" i="2"/>
  <c r="AZ71" i="2"/>
  <c r="AZ72" i="2"/>
  <c r="AZ73" i="2"/>
  <c r="AZ74" i="2"/>
  <c r="AZ68" i="2"/>
  <c r="AX69" i="2"/>
  <c r="AX70" i="2"/>
  <c r="AX71" i="2"/>
  <c r="AX72" i="2"/>
  <c r="AX73" i="2"/>
  <c r="AX74" i="2"/>
  <c r="AX68" i="2"/>
  <c r="AM94" i="2" l="1"/>
  <c r="AM91" i="2"/>
  <c r="AM93" i="2"/>
  <c r="BA94" i="2"/>
  <c r="BF94" i="2" s="1"/>
  <c r="BA96" i="2"/>
  <c r="AM96" i="2"/>
  <c r="AR96" i="2" s="1"/>
  <c r="AM92" i="2"/>
  <c r="BA91" i="2"/>
  <c r="BO91" i="2"/>
  <c r="BA93" i="2"/>
  <c r="BA95" i="2"/>
  <c r="BO214" i="2"/>
  <c r="BT214" i="2" s="1"/>
  <c r="BA92" i="2"/>
  <c r="AM95" i="2"/>
  <c r="AR95" i="2" s="1"/>
  <c r="AG24" i="3"/>
  <c r="G46" i="2"/>
  <c r="G94" i="2"/>
  <c r="G95" i="2"/>
  <c r="L95" i="2" s="1"/>
  <c r="G96" i="2"/>
  <c r="L96" i="2" s="1"/>
  <c r="F27" i="2"/>
  <c r="F18" i="2"/>
  <c r="F19" i="2" s="1"/>
  <c r="M17" i="6"/>
  <c r="S17" i="6" s="1"/>
  <c r="Y17" i="6" s="1"/>
  <c r="Y49" i="6" s="1"/>
  <c r="M18" i="6"/>
  <c r="S18" i="6" s="1"/>
  <c r="Y18" i="6" s="1"/>
  <c r="Y50" i="6" s="1"/>
  <c r="M19" i="6"/>
  <c r="S19" i="6" s="1"/>
  <c r="Y19" i="6" s="1"/>
  <c r="Y51" i="6" s="1"/>
  <c r="M20" i="6"/>
  <c r="S20" i="6" s="1"/>
  <c r="Y20" i="6" s="1"/>
  <c r="Y52" i="6" s="1"/>
  <c r="M21" i="6"/>
  <c r="S21" i="6" s="1"/>
  <c r="Y21" i="6" s="1"/>
  <c r="Y53" i="6" s="1"/>
  <c r="M16" i="6"/>
  <c r="S16" i="6" s="1"/>
  <c r="Y16" i="6" s="1"/>
  <c r="Y48" i="6" s="1"/>
  <c r="L94" i="2"/>
  <c r="BF95" i="2"/>
  <c r="BF96" i="2"/>
  <c r="BO213" i="2"/>
  <c r="BT213" i="2" s="1"/>
  <c r="BA213" i="2"/>
  <c r="BF213" i="2" s="1"/>
  <c r="AR94" i="2"/>
  <c r="W92" i="2"/>
  <c r="W93" i="2"/>
  <c r="W94" i="2"/>
  <c r="W95" i="2"/>
  <c r="W96" i="2"/>
  <c r="W91" i="2"/>
  <c r="AA91" i="2"/>
  <c r="AA92" i="2"/>
  <c r="AA93" i="2"/>
  <c r="AA94" i="2"/>
  <c r="AA95" i="2"/>
  <c r="AA96" i="2"/>
  <c r="X92" i="2"/>
  <c r="X93" i="2"/>
  <c r="X94" i="2"/>
  <c r="Y94" i="2" s="1"/>
  <c r="X95" i="2"/>
  <c r="X96" i="2"/>
  <c r="X91" i="2"/>
  <c r="V92" i="2"/>
  <c r="V93" i="2"/>
  <c r="V94" i="2"/>
  <c r="V95" i="2"/>
  <c r="V96" i="2"/>
  <c r="V91" i="2"/>
  <c r="AA81" i="2"/>
  <c r="AA82" i="2"/>
  <c r="AA83" i="2"/>
  <c r="AA84" i="2"/>
  <c r="AA85" i="2"/>
  <c r="AA86" i="2"/>
  <c r="AA80" i="2"/>
  <c r="AO69" i="2"/>
  <c r="AO70" i="2"/>
  <c r="AO71" i="2"/>
  <c r="AO72" i="2"/>
  <c r="AO73" i="2"/>
  <c r="AO74" i="2"/>
  <c r="AO68" i="2"/>
  <c r="D28" i="3"/>
  <c r="D52" i="2"/>
  <c r="V34" i="2"/>
  <c r="M23" i="6"/>
  <c r="S23" i="6" s="1"/>
  <c r="Y23" i="6" s="1"/>
  <c r="Y55" i="6" s="1"/>
  <c r="M22" i="6"/>
  <c r="S22" i="6" s="1"/>
  <c r="Y22" i="6" s="1"/>
  <c r="Y54" i="6" s="1"/>
  <c r="C23" i="6"/>
  <c r="E23" i="6" s="1"/>
  <c r="B23" i="6"/>
  <c r="K23" i="6" s="1"/>
  <c r="Q23" i="6" s="1"/>
  <c r="W23" i="6" s="1"/>
  <c r="W55" i="6" s="1"/>
  <c r="AC54" i="6"/>
  <c r="W54" i="6"/>
  <c r="AC22" i="6"/>
  <c r="W22" i="6"/>
  <c r="Q22" i="6"/>
  <c r="K22" i="6"/>
  <c r="C22" i="6"/>
  <c r="E22" i="6" s="1"/>
  <c r="B22" i="6"/>
  <c r="K15" i="10"/>
  <c r="F15" i="10"/>
  <c r="Y96" i="2" l="1"/>
  <c r="BA214" i="2"/>
  <c r="BF214" i="2" s="1"/>
  <c r="BA215" i="2"/>
  <c r="BF215" i="2" s="1"/>
  <c r="BO94" i="2"/>
  <c r="BT94" i="2" s="1"/>
  <c r="BO215" i="2"/>
  <c r="BT215" i="2" s="1"/>
  <c r="Y95" i="2"/>
  <c r="AD95" i="2" s="1"/>
  <c r="AD96" i="2"/>
  <c r="BO93" i="2"/>
  <c r="BO95" i="2"/>
  <c r="Y93" i="2"/>
  <c r="BO92" i="2"/>
  <c r="BO96" i="2"/>
  <c r="BT96" i="2" s="1"/>
  <c r="BT95" i="2"/>
  <c r="AE55" i="6"/>
  <c r="AE54" i="6"/>
  <c r="Y91" i="2"/>
  <c r="AD94" i="2"/>
  <c r="AE23" i="6"/>
  <c r="AE22" i="6"/>
  <c r="AC23" i="6"/>
  <c r="AC55" i="6" s="1"/>
  <c r="S9" i="9"/>
  <c r="X41" i="3"/>
  <c r="AE41" i="3" s="1"/>
  <c r="X39" i="3"/>
  <c r="AE39" i="3" s="1"/>
  <c r="Y37" i="3"/>
  <c r="Z37" i="3" s="1"/>
  <c r="AG37" i="3" s="1"/>
  <c r="Y24" i="3"/>
  <c r="AF24" i="3" s="1"/>
  <c r="X26" i="3"/>
  <c r="X28" i="3"/>
  <c r="S36" i="9"/>
  <c r="K9" i="9"/>
  <c r="K8" i="12"/>
  <c r="K9" i="12"/>
  <c r="K10" i="12"/>
  <c r="K7" i="12"/>
  <c r="D5" i="5"/>
  <c r="D16" i="5" s="1"/>
  <c r="C18" i="12"/>
  <c r="C19" i="12"/>
  <c r="C20" i="12"/>
  <c r="C17" i="12"/>
  <c r="Y18" i="12"/>
  <c r="Y19" i="12"/>
  <c r="Y20" i="12"/>
  <c r="Y17" i="12"/>
  <c r="T18" i="12"/>
  <c r="AD18" i="12" s="1"/>
  <c r="AI18" i="12" s="1"/>
  <c r="T19" i="12"/>
  <c r="AD19" i="12" s="1"/>
  <c r="AI19" i="12" s="1"/>
  <c r="T20" i="12"/>
  <c r="AD20" i="12" s="1"/>
  <c r="AI20" i="12" s="1"/>
  <c r="T17" i="12"/>
  <c r="AD17" i="12" s="1"/>
  <c r="AI17" i="12" s="1"/>
  <c r="O18" i="12"/>
  <c r="O19" i="12"/>
  <c r="O20" i="12"/>
  <c r="O17" i="12"/>
  <c r="AF37" i="3" l="1"/>
  <c r="AA37" i="3"/>
  <c r="AH37" i="3"/>
  <c r="Z24" i="3"/>
  <c r="AH24" i="3" s="1"/>
  <c r="J18" i="12"/>
  <c r="J19" i="12"/>
  <c r="J20" i="12"/>
  <c r="J17" i="12"/>
  <c r="R18" i="12"/>
  <c r="W18" i="12" s="1"/>
  <c r="AB18" i="12" s="1"/>
  <c r="AG18" i="12" s="1"/>
  <c r="R19" i="12"/>
  <c r="W19" i="12" s="1"/>
  <c r="AB19" i="12" s="1"/>
  <c r="AG19" i="12" s="1"/>
  <c r="R20" i="12"/>
  <c r="W20" i="12" s="1"/>
  <c r="AB20" i="12" s="1"/>
  <c r="AG20" i="12" s="1"/>
  <c r="R17" i="12"/>
  <c r="W17" i="12" s="1"/>
  <c r="AB17" i="12" s="1"/>
  <c r="AG17" i="12" s="1"/>
  <c r="M18" i="12"/>
  <c r="M19" i="12"/>
  <c r="M20" i="12"/>
  <c r="M17" i="12"/>
  <c r="H18" i="12"/>
  <c r="H19" i="12"/>
  <c r="H20" i="12"/>
  <c r="H17" i="12"/>
  <c r="D18" i="12"/>
  <c r="D19" i="12"/>
  <c r="D20" i="12"/>
  <c r="D17" i="12"/>
  <c r="B20" i="12"/>
  <c r="B19" i="12"/>
  <c r="B18" i="12"/>
  <c r="B17" i="12"/>
  <c r="M10" i="12"/>
  <c r="M9" i="12"/>
  <c r="M8" i="12"/>
  <c r="M7" i="12"/>
  <c r="D30" i="3"/>
  <c r="C16" i="9"/>
  <c r="C34" i="10" s="1"/>
  <c r="C10" i="9"/>
  <c r="C12" i="9" s="1"/>
  <c r="S8" i="9"/>
  <c r="I12" i="6"/>
  <c r="I8" i="6"/>
  <c r="I11" i="6"/>
  <c r="I10" i="6"/>
  <c r="I9" i="6"/>
  <c r="I7" i="6"/>
  <c r="I6" i="6"/>
  <c r="I5" i="6"/>
  <c r="W4" i="5" l="1"/>
  <c r="N8" i="12"/>
  <c r="N10" i="12"/>
  <c r="C34" i="13"/>
  <c r="N9" i="12"/>
  <c r="N7" i="12"/>
  <c r="C13" i="9"/>
  <c r="C17" i="9"/>
  <c r="AA24" i="3"/>
  <c r="AG25" i="3"/>
  <c r="AS26" i="3"/>
  <c r="C28" i="3"/>
  <c r="S10" i="9"/>
  <c r="H9" i="5"/>
  <c r="G15" i="9"/>
  <c r="X4" i="5" l="1"/>
  <c r="X8" i="5" s="1"/>
  <c r="X9" i="5"/>
  <c r="C35" i="13"/>
  <c r="C36" i="10"/>
  <c r="F52" i="2"/>
  <c r="H52" i="2" l="1"/>
  <c r="J52" i="2" s="1"/>
  <c r="F51" i="2"/>
  <c r="F53" i="2" s="1"/>
  <c r="G16" i="2" l="1"/>
  <c r="G15" i="2"/>
  <c r="G17" i="2"/>
  <c r="AM18" i="2" s="1"/>
  <c r="AN18" i="2" s="1"/>
  <c r="AM15" i="2"/>
  <c r="AN15" i="2" s="1"/>
  <c r="AL20" i="2"/>
  <c r="D25" i="3"/>
  <c r="I11" i="8" l="1"/>
  <c r="N11" i="8" s="1"/>
  <c r="S11" i="8" s="1"/>
  <c r="I10" i="8"/>
  <c r="N10" i="8" s="1"/>
  <c r="S10" i="8" s="1"/>
  <c r="H11" i="8"/>
  <c r="M11" i="8" s="1"/>
  <c r="R11" i="8" s="1"/>
  <c r="H10" i="8"/>
  <c r="M10" i="8" s="1"/>
  <c r="R10" i="8" s="1"/>
  <c r="V42" i="2"/>
  <c r="V47" i="2"/>
  <c r="AJ47" i="2" s="1"/>
  <c r="AX47" i="2" s="1"/>
  <c r="V38" i="2"/>
  <c r="AJ38" i="2" s="1"/>
  <c r="AX38" i="2" s="1"/>
  <c r="V33" i="2"/>
  <c r="AJ33" i="2" s="1"/>
  <c r="AX33" i="2" s="1"/>
  <c r="V51" i="2"/>
  <c r="Y52" i="2"/>
  <c r="AM52" i="2" s="1"/>
  <c r="BA52" i="2" s="1"/>
  <c r="BA171" i="2" s="1"/>
  <c r="BO171" i="2" s="1"/>
  <c r="Y48" i="2"/>
  <c r="AM48" i="2" s="1"/>
  <c r="BA48" i="2" s="1"/>
  <c r="Y49" i="2"/>
  <c r="AM49" i="2" s="1"/>
  <c r="BA49" i="2" s="1"/>
  <c r="Y50" i="2"/>
  <c r="AM50" i="2" s="1"/>
  <c r="BA50" i="2" s="1"/>
  <c r="Y47" i="2"/>
  <c r="AM47" i="2" s="1"/>
  <c r="BA47" i="2" s="1"/>
  <c r="W48" i="2"/>
  <c r="AK48" i="2" s="1"/>
  <c r="AY48" i="2" s="1"/>
  <c r="W49" i="2"/>
  <c r="AK49" i="2" s="1"/>
  <c r="AY49" i="2" s="1"/>
  <c r="W50" i="2"/>
  <c r="AK50" i="2" s="1"/>
  <c r="AY50" i="2" s="1"/>
  <c r="W47" i="2"/>
  <c r="AK47" i="2" s="1"/>
  <c r="AY47" i="2" s="1"/>
  <c r="Y39" i="2"/>
  <c r="AM39" i="2" s="1"/>
  <c r="BA39" i="2" s="1"/>
  <c r="Y40" i="2"/>
  <c r="AM40" i="2" s="1"/>
  <c r="BA40" i="2" s="1"/>
  <c r="Y41" i="2"/>
  <c r="AM41" i="2" s="1"/>
  <c r="BA41" i="2" s="1"/>
  <c r="Y38" i="2"/>
  <c r="AM38" i="2" s="1"/>
  <c r="BA38" i="2" s="1"/>
  <c r="W39" i="2"/>
  <c r="AK39" i="2" s="1"/>
  <c r="AY39" i="2" s="1"/>
  <c r="W40" i="2"/>
  <c r="W41" i="2"/>
  <c r="AK41" i="2" s="1"/>
  <c r="AY41" i="2" s="1"/>
  <c r="W38" i="2"/>
  <c r="AK38" i="2" s="1"/>
  <c r="AY38" i="2" s="1"/>
  <c r="Y33" i="2"/>
  <c r="AM33" i="2" s="1"/>
  <c r="BA33" i="2" s="1"/>
  <c r="W33" i="2"/>
  <c r="AK33" i="2" s="1"/>
  <c r="AY33" i="2" s="1"/>
  <c r="AY81" i="2"/>
  <c r="AY82" i="2"/>
  <c r="AY83" i="2"/>
  <c r="AY84" i="2"/>
  <c r="AY85" i="2"/>
  <c r="AY86" i="2"/>
  <c r="AY80" i="2"/>
  <c r="BS188" i="2"/>
  <c r="BT188" i="2" s="1"/>
  <c r="AD38" i="6" s="1"/>
  <c r="BS189" i="2"/>
  <c r="BT189" i="2" s="1"/>
  <c r="AD39" i="6" s="1"/>
  <c r="BS190" i="2"/>
  <c r="BT190" i="2" s="1"/>
  <c r="AD40" i="6" s="1"/>
  <c r="BS191" i="2"/>
  <c r="BT191" i="2" s="1"/>
  <c r="AD41" i="6" s="1"/>
  <c r="BS192" i="2"/>
  <c r="BT192" i="2" s="1"/>
  <c r="AD42" i="6" s="1"/>
  <c r="BS193" i="2"/>
  <c r="BT193" i="2" s="1"/>
  <c r="AD43" i="6" s="1"/>
  <c r="BE188" i="2"/>
  <c r="BF188" i="2" s="1"/>
  <c r="X38" i="6" s="1"/>
  <c r="BE189" i="2"/>
  <c r="BF189" i="2" s="1"/>
  <c r="X39" i="6" s="1"/>
  <c r="BE190" i="2"/>
  <c r="BF190" i="2" s="1"/>
  <c r="X40" i="6" s="1"/>
  <c r="BE191" i="2"/>
  <c r="BF191" i="2" s="1"/>
  <c r="X41" i="6" s="1"/>
  <c r="BE192" i="2"/>
  <c r="BF192" i="2" s="1"/>
  <c r="X42" i="6" s="1"/>
  <c r="BE193" i="2"/>
  <c r="BF193" i="2" s="1"/>
  <c r="X43" i="6" s="1"/>
  <c r="BS69" i="2"/>
  <c r="BT69" i="2" s="1"/>
  <c r="AD6" i="6" s="1"/>
  <c r="BS70" i="2"/>
  <c r="BT70" i="2" s="1"/>
  <c r="AD7" i="6" s="1"/>
  <c r="BS71" i="2"/>
  <c r="BT71" i="2" s="1"/>
  <c r="AD8" i="6" s="1"/>
  <c r="BS72" i="2"/>
  <c r="BT72" i="2" s="1"/>
  <c r="AD9" i="6" s="1"/>
  <c r="BS73" i="2"/>
  <c r="BT73" i="2" s="1"/>
  <c r="AD10" i="6" s="1"/>
  <c r="BS74" i="2"/>
  <c r="BT74" i="2" s="1"/>
  <c r="AD11" i="6" s="1"/>
  <c r="BE69" i="2"/>
  <c r="BF69" i="2" s="1"/>
  <c r="X6" i="6" s="1"/>
  <c r="BE70" i="2"/>
  <c r="BE82" i="2" s="1"/>
  <c r="BE71" i="2"/>
  <c r="BE83" i="2" s="1"/>
  <c r="BE72" i="2"/>
  <c r="BF72" i="2" s="1"/>
  <c r="X9" i="6" s="1"/>
  <c r="BE73" i="2"/>
  <c r="BF73" i="2" s="1"/>
  <c r="X10" i="6" s="1"/>
  <c r="BE74" i="2"/>
  <c r="BE86" i="2" s="1"/>
  <c r="AQ69" i="2"/>
  <c r="AQ70" i="2"/>
  <c r="AQ71" i="2"/>
  <c r="AQ72" i="2"/>
  <c r="AQ73" i="2"/>
  <c r="AQ74" i="2"/>
  <c r="D36" i="3"/>
  <c r="D38" i="3"/>
  <c r="K38" i="3" s="1"/>
  <c r="C28" i="13"/>
  <c r="E28" i="3"/>
  <c r="X27" i="3" s="1"/>
  <c r="K69" i="2"/>
  <c r="L69" i="2" s="1"/>
  <c r="C6" i="6" s="1"/>
  <c r="K70" i="2"/>
  <c r="L70" i="2" s="1"/>
  <c r="C7" i="6" s="1"/>
  <c r="K71" i="2"/>
  <c r="L71" i="2" s="1"/>
  <c r="C8" i="6" s="1"/>
  <c r="K72" i="2"/>
  <c r="L72" i="2" s="1"/>
  <c r="C9" i="6" s="1"/>
  <c r="K73" i="2"/>
  <c r="L73" i="2" s="1"/>
  <c r="C10" i="6" s="1"/>
  <c r="K74" i="2"/>
  <c r="L74" i="2" s="1"/>
  <c r="C11" i="6" s="1"/>
  <c r="AA69" i="2"/>
  <c r="AA70" i="2"/>
  <c r="AA71" i="2"/>
  <c r="AA72" i="2"/>
  <c r="AA73" i="2"/>
  <c r="AA74" i="2"/>
  <c r="AA68" i="2"/>
  <c r="X69" i="2"/>
  <c r="X70" i="2"/>
  <c r="X71" i="2"/>
  <c r="X72" i="2"/>
  <c r="X73" i="2"/>
  <c r="X74" i="2"/>
  <c r="X68" i="2"/>
  <c r="W69" i="2"/>
  <c r="W70" i="2"/>
  <c r="W71" i="2"/>
  <c r="W72" i="2"/>
  <c r="W73" i="2"/>
  <c r="W74" i="2"/>
  <c r="W68" i="2"/>
  <c r="V69" i="2"/>
  <c r="V70" i="2"/>
  <c r="V71" i="2"/>
  <c r="V72" i="2"/>
  <c r="V73" i="2"/>
  <c r="V74" i="2"/>
  <c r="V68" i="2"/>
  <c r="W57" i="2"/>
  <c r="AK57" i="2" s="1"/>
  <c r="AY57" i="2" s="1"/>
  <c r="V57" i="2"/>
  <c r="AJ57" i="2" s="1"/>
  <c r="AX57" i="2" s="1"/>
  <c r="F58" i="2"/>
  <c r="G58" i="2" s="1"/>
  <c r="H58" i="2" s="1"/>
  <c r="Z57" i="2" s="1"/>
  <c r="C30" i="3"/>
  <c r="F30" i="3" s="1"/>
  <c r="Y29" i="3" s="1"/>
  <c r="AF29" i="3" s="1"/>
  <c r="E8" i="2"/>
  <c r="AJ51" i="2" l="1"/>
  <c r="X49" i="2"/>
  <c r="X50" i="2"/>
  <c r="AJ42" i="2"/>
  <c r="X41" i="2"/>
  <c r="AK40" i="2"/>
  <c r="X40" i="2"/>
  <c r="AC73" i="2"/>
  <c r="AC74" i="2"/>
  <c r="AD74" i="2" s="1"/>
  <c r="L11" i="6" s="1"/>
  <c r="AC70" i="2"/>
  <c r="AD70" i="2" s="1"/>
  <c r="L7" i="6" s="1"/>
  <c r="BE85" i="2"/>
  <c r="BE84" i="2"/>
  <c r="BE81" i="2"/>
  <c r="AC71" i="2"/>
  <c r="AD71" i="2" s="1"/>
  <c r="L8" i="6" s="1"/>
  <c r="AC72" i="2"/>
  <c r="AD72" i="2" s="1"/>
  <c r="L9" i="6" s="1"/>
  <c r="AC69" i="2"/>
  <c r="AD69" i="2" s="1"/>
  <c r="L6" i="6" s="1"/>
  <c r="E30" i="3"/>
  <c r="X29" i="3" s="1"/>
  <c r="AE29" i="3" s="1"/>
  <c r="AR74" i="2"/>
  <c r="R11" i="6" s="1"/>
  <c r="AR72" i="2"/>
  <c r="R9" i="6" s="1"/>
  <c r="AR70" i="2"/>
  <c r="R7" i="6" s="1"/>
  <c r="K30" i="3"/>
  <c r="R30" i="3" s="1"/>
  <c r="AM30" i="3" s="1"/>
  <c r="Y62" i="3" s="1"/>
  <c r="AF62" i="3" s="1"/>
  <c r="AD73" i="2"/>
  <c r="L10" i="6" s="1"/>
  <c r="X57" i="2"/>
  <c r="AL57" i="2" s="1"/>
  <c r="AZ57" i="2" s="1"/>
  <c r="AR73" i="2"/>
  <c r="R10" i="6" s="1"/>
  <c r="AR71" i="2"/>
  <c r="R8" i="6" s="1"/>
  <c r="AR69" i="2"/>
  <c r="R6" i="6" s="1"/>
  <c r="AY160" i="2"/>
  <c r="BM160" i="2" s="1"/>
  <c r="BM41" i="2"/>
  <c r="AY158" i="2"/>
  <c r="BM158" i="2" s="1"/>
  <c r="BM39" i="2"/>
  <c r="AY169" i="2"/>
  <c r="BM169" i="2" s="1"/>
  <c r="BM50" i="2"/>
  <c r="AY167" i="2"/>
  <c r="BM167" i="2" s="1"/>
  <c r="BM48" i="2"/>
  <c r="R38" i="8"/>
  <c r="W38" i="8" s="1"/>
  <c r="W10" i="8"/>
  <c r="S38" i="8"/>
  <c r="X38" i="8" s="1"/>
  <c r="X10" i="8"/>
  <c r="AY152" i="2"/>
  <c r="BM152" i="2" s="1"/>
  <c r="BM33" i="2"/>
  <c r="AY157" i="2"/>
  <c r="BM157" i="2" s="1"/>
  <c r="BM38" i="2"/>
  <c r="AY166" i="2"/>
  <c r="BM166" i="2" s="1"/>
  <c r="BM47" i="2"/>
  <c r="AY168" i="2"/>
  <c r="BM168" i="2" s="1"/>
  <c r="BM49" i="2"/>
  <c r="AX157" i="2"/>
  <c r="BL38" i="2"/>
  <c r="R39" i="8"/>
  <c r="W39" i="8" s="1"/>
  <c r="W11" i="8"/>
  <c r="S39" i="8"/>
  <c r="X39" i="8" s="1"/>
  <c r="X11" i="8"/>
  <c r="BF71" i="2"/>
  <c r="X8" i="6" s="1"/>
  <c r="BF74" i="2"/>
  <c r="X11" i="6" s="1"/>
  <c r="BF70" i="2"/>
  <c r="X7" i="6" s="1"/>
  <c r="AZ176" i="2"/>
  <c r="BN176" i="2" s="1"/>
  <c r="BN57" i="2"/>
  <c r="BL57" i="2"/>
  <c r="AX176" i="2"/>
  <c r="BL176" i="2" s="1"/>
  <c r="AJ34" i="2"/>
  <c r="AX34" i="2" s="1"/>
  <c r="BA152" i="2"/>
  <c r="BO152" i="2" s="1"/>
  <c r="BO33" i="2"/>
  <c r="BM57" i="2"/>
  <c r="AY176" i="2"/>
  <c r="BM176" i="2" s="1"/>
  <c r="AN57" i="2"/>
  <c r="Y57" i="2"/>
  <c r="AM57" i="2" s="1"/>
  <c r="BA57" i="2" s="1"/>
  <c r="AX152" i="2"/>
  <c r="BL152" i="2" s="1"/>
  <c r="BL33" i="2"/>
  <c r="AX166" i="2"/>
  <c r="BL47" i="2"/>
  <c r="BA167" i="2"/>
  <c r="BO167" i="2" s="1"/>
  <c r="BO48" i="2"/>
  <c r="BA166" i="2"/>
  <c r="BO166" i="2" s="1"/>
  <c r="BO47" i="2"/>
  <c r="BA169" i="2"/>
  <c r="BO169" i="2" s="1"/>
  <c r="BO50" i="2"/>
  <c r="BA168" i="2"/>
  <c r="BO168" i="2" s="1"/>
  <c r="BO49" i="2"/>
  <c r="BO41" i="2"/>
  <c r="BA160" i="2"/>
  <c r="BO160" i="2" s="1"/>
  <c r="BO40" i="2"/>
  <c r="BA159" i="2"/>
  <c r="BO159" i="2" s="1"/>
  <c r="BO39" i="2"/>
  <c r="BA158" i="2"/>
  <c r="BO158" i="2" s="1"/>
  <c r="BA157" i="2"/>
  <c r="BO157" i="2" s="1"/>
  <c r="BO38" i="2"/>
  <c r="C38" i="3"/>
  <c r="R38" i="3"/>
  <c r="J58" i="2"/>
  <c r="AT30" i="3" l="1"/>
  <c r="AX51" i="2"/>
  <c r="AL50" i="2"/>
  <c r="AL49" i="2"/>
  <c r="AX42" i="2"/>
  <c r="AL41" i="2"/>
  <c r="AY40" i="2"/>
  <c r="AL40" i="2"/>
  <c r="F38" i="3"/>
  <c r="Y43" i="3" s="1"/>
  <c r="AF43" i="3" s="1"/>
  <c r="E38" i="3"/>
  <c r="X43" i="3" s="1"/>
  <c r="AE43" i="3" s="1"/>
  <c r="BL34" i="2"/>
  <c r="AX153" i="2"/>
  <c r="BL153" i="2" s="1"/>
  <c r="BO57" i="2"/>
  <c r="BA176" i="2"/>
  <c r="BO176" i="2" s="1"/>
  <c r="BB57" i="2"/>
  <c r="AZ49" i="2" l="1"/>
  <c r="AZ50" i="2"/>
  <c r="AX170" i="2"/>
  <c r="BL51" i="2"/>
  <c r="AZ41" i="2"/>
  <c r="AX161" i="2"/>
  <c r="BL42" i="2"/>
  <c r="BN41" i="2" s="1"/>
  <c r="AZ40" i="2"/>
  <c r="AY159" i="2"/>
  <c r="BM40" i="2"/>
  <c r="BB176" i="2"/>
  <c r="BP176" i="2" s="1"/>
  <c r="BP57" i="2"/>
  <c r="O49" i="9"/>
  <c r="O22" i="9"/>
  <c r="G22" i="9"/>
  <c r="S51" i="9"/>
  <c r="O50" i="9"/>
  <c r="S24" i="9"/>
  <c r="O23" i="9"/>
  <c r="K24" i="9"/>
  <c r="G23" i="9"/>
  <c r="S21" i="9"/>
  <c r="O21" i="9"/>
  <c r="K21" i="9"/>
  <c r="G21" i="9"/>
  <c r="S42" i="9"/>
  <c r="O42" i="9"/>
  <c r="S15" i="9"/>
  <c r="T16" i="9" s="1"/>
  <c r="O15" i="9"/>
  <c r="K15" i="9"/>
  <c r="W10" i="2"/>
  <c r="S38" i="9"/>
  <c r="O38" i="9"/>
  <c r="S11" i="9"/>
  <c r="O11" i="9"/>
  <c r="K11" i="9"/>
  <c r="G11" i="9"/>
  <c r="O36" i="9"/>
  <c r="O9" i="9"/>
  <c r="G9" i="9"/>
  <c r="BN40" i="2" l="1"/>
  <c r="AZ168" i="2"/>
  <c r="BL170" i="2"/>
  <c r="AZ169" i="2"/>
  <c r="BN50" i="2"/>
  <c r="BN49" i="2"/>
  <c r="BL161" i="2"/>
  <c r="BN160" i="2" s="1"/>
  <c r="AZ160" i="2"/>
  <c r="BM159" i="2"/>
  <c r="AZ159" i="2"/>
  <c r="S22" i="9"/>
  <c r="S49" i="9"/>
  <c r="AG27" i="3"/>
  <c r="AS28" i="3"/>
  <c r="S12" i="9"/>
  <c r="S16" i="9"/>
  <c r="AE34" i="10" s="1"/>
  <c r="R15" i="9"/>
  <c r="K27" i="13"/>
  <c r="J27" i="13"/>
  <c r="N27" i="13" s="1"/>
  <c r="K26" i="13"/>
  <c r="J26" i="13"/>
  <c r="N26" i="13" s="1"/>
  <c r="K25" i="13"/>
  <c r="J25" i="13"/>
  <c r="N25" i="13" s="1"/>
  <c r="K24" i="13"/>
  <c r="J24" i="13"/>
  <c r="N24" i="13" s="1"/>
  <c r="K23" i="13"/>
  <c r="J23" i="13"/>
  <c r="N23" i="13" s="1"/>
  <c r="K22" i="13"/>
  <c r="J22" i="13"/>
  <c r="N22" i="13" s="1"/>
  <c r="K21" i="13"/>
  <c r="J21" i="13"/>
  <c r="N21" i="13" s="1"/>
  <c r="K20" i="13"/>
  <c r="J20" i="13"/>
  <c r="N20" i="13" s="1"/>
  <c r="K19" i="13"/>
  <c r="J19" i="13"/>
  <c r="N19" i="13" s="1"/>
  <c r="K18" i="13"/>
  <c r="J18" i="13"/>
  <c r="N18" i="13" s="1"/>
  <c r="K17" i="13"/>
  <c r="J17" i="13"/>
  <c r="N17" i="13" s="1"/>
  <c r="C5" i="13"/>
  <c r="BN159" i="2" l="1"/>
  <c r="W16" i="5"/>
  <c r="X16" i="5" s="1"/>
  <c r="AA34" i="13"/>
  <c r="J28" i="13"/>
  <c r="BN168" i="2"/>
  <c r="BN169" i="2"/>
  <c r="S13" i="9"/>
  <c r="S19" i="9"/>
  <c r="W7" i="8" s="1"/>
  <c r="W22" i="8" s="1"/>
  <c r="X22" i="8" s="1"/>
  <c r="K28" i="13"/>
  <c r="N28" i="13"/>
  <c r="E5" i="13"/>
  <c r="C6" i="13"/>
  <c r="E6" i="13" s="1"/>
  <c r="E7" i="13"/>
  <c r="H8" i="12"/>
  <c r="H9" i="12"/>
  <c r="H10" i="12"/>
  <c r="H7" i="12"/>
  <c r="F8" i="12"/>
  <c r="F7" i="12"/>
  <c r="Y39" i="8"/>
  <c r="T39" i="8"/>
  <c r="Y38" i="8"/>
  <c r="T38" i="8"/>
  <c r="AD49" i="6"/>
  <c r="AD50" i="6"/>
  <c r="AD51" i="6"/>
  <c r="AD52" i="6"/>
  <c r="AD53" i="6"/>
  <c r="AD48" i="6"/>
  <c r="AC49" i="6"/>
  <c r="AC50" i="6"/>
  <c r="AC51" i="6"/>
  <c r="AC52" i="6"/>
  <c r="AC53" i="6"/>
  <c r="AC48" i="6"/>
  <c r="AC38" i="6"/>
  <c r="AE38" i="6" s="1"/>
  <c r="AC39" i="6"/>
  <c r="AE39" i="6" s="1"/>
  <c r="AC40" i="6"/>
  <c r="AE40" i="6" s="1"/>
  <c r="AC41" i="6"/>
  <c r="AE41" i="6" s="1"/>
  <c r="AC42" i="6"/>
  <c r="AE42" i="6" s="1"/>
  <c r="AC43" i="6"/>
  <c r="AE43" i="6" s="1"/>
  <c r="AC37" i="6"/>
  <c r="AE37" i="6" s="1"/>
  <c r="X49" i="6"/>
  <c r="X50" i="6"/>
  <c r="X51" i="6"/>
  <c r="X52" i="6"/>
  <c r="X53" i="6"/>
  <c r="X48" i="6"/>
  <c r="W49" i="6"/>
  <c r="W50" i="6"/>
  <c r="W51" i="6"/>
  <c r="W52" i="6"/>
  <c r="W53" i="6"/>
  <c r="W48" i="6"/>
  <c r="W38" i="6"/>
  <c r="Y38" i="6" s="1"/>
  <c r="W39" i="6"/>
  <c r="Y39" i="6" s="1"/>
  <c r="W40" i="6"/>
  <c r="Y40" i="6" s="1"/>
  <c r="W41" i="6"/>
  <c r="Y41" i="6" s="1"/>
  <c r="W42" i="6"/>
  <c r="Y42" i="6" s="1"/>
  <c r="W43" i="6"/>
  <c r="Y43" i="6" s="1"/>
  <c r="W37" i="6"/>
  <c r="Y37" i="6" s="1"/>
  <c r="AE53" i="6"/>
  <c r="AE52" i="6"/>
  <c r="AE51" i="6"/>
  <c r="BA170" i="2"/>
  <c r="BO170" i="2" s="1"/>
  <c r="BA161" i="2"/>
  <c r="BO161" i="2" s="1"/>
  <c r="BO212" i="2"/>
  <c r="BT212" i="2" s="1"/>
  <c r="BA212" i="2"/>
  <c r="BF212" i="2" s="1"/>
  <c r="BO211" i="2"/>
  <c r="BT211" i="2" s="1"/>
  <c r="BA211" i="2"/>
  <c r="BF211" i="2" s="1"/>
  <c r="BO210" i="2"/>
  <c r="BT210" i="2" s="1"/>
  <c r="BA210" i="2"/>
  <c r="BF210" i="2" s="1"/>
  <c r="BS205" i="2"/>
  <c r="BN205" i="2"/>
  <c r="BM205" i="2"/>
  <c r="BL205" i="2"/>
  <c r="BE205" i="2"/>
  <c r="AZ205" i="2"/>
  <c r="AY205" i="2"/>
  <c r="AX205" i="2"/>
  <c r="BM204" i="2"/>
  <c r="BL204" i="2"/>
  <c r="BE204" i="2"/>
  <c r="AY204" i="2"/>
  <c r="AX204" i="2"/>
  <c r="BM203" i="2"/>
  <c r="BL203" i="2"/>
  <c r="AY203" i="2"/>
  <c r="AX203" i="2"/>
  <c r="BM202" i="2"/>
  <c r="BL202" i="2"/>
  <c r="BE202" i="2"/>
  <c r="AY202" i="2"/>
  <c r="AX202" i="2"/>
  <c r="BM201" i="2"/>
  <c r="BL201" i="2"/>
  <c r="AY201" i="2"/>
  <c r="AX201" i="2"/>
  <c r="BM200" i="2"/>
  <c r="BL200" i="2"/>
  <c r="BE200" i="2"/>
  <c r="AY200" i="2"/>
  <c r="AX200" i="2"/>
  <c r="BM199" i="2"/>
  <c r="BL199" i="2"/>
  <c r="AY199" i="2"/>
  <c r="AX199" i="2"/>
  <c r="BO193" i="2"/>
  <c r="BA193" i="2"/>
  <c r="BS204" i="2"/>
  <c r="BO192" i="2"/>
  <c r="AZ204" i="2"/>
  <c r="BA192" i="2"/>
  <c r="BS203" i="2"/>
  <c r="BO191" i="2"/>
  <c r="BE203" i="2"/>
  <c r="BA191" i="2"/>
  <c r="BS202" i="2"/>
  <c r="BO190" i="2"/>
  <c r="AZ202" i="2"/>
  <c r="BA190" i="2"/>
  <c r="BS201" i="2"/>
  <c r="BO189" i="2"/>
  <c r="BA189" i="2"/>
  <c r="BS200" i="2"/>
  <c r="BO188" i="2"/>
  <c r="AZ200" i="2"/>
  <c r="BA188" i="2"/>
  <c r="BS187" i="2"/>
  <c r="BS199" i="2" s="1"/>
  <c r="BO187" i="2"/>
  <c r="BE187" i="2"/>
  <c r="BE199" i="2" s="1"/>
  <c r="BA187" i="2"/>
  <c r="BN167" i="2"/>
  <c r="AZ167" i="2"/>
  <c r="BN166" i="2"/>
  <c r="AZ166" i="2"/>
  <c r="BN158" i="2"/>
  <c r="AZ158" i="2"/>
  <c r="BN157" i="2"/>
  <c r="AZ157" i="2"/>
  <c r="BN152" i="2"/>
  <c r="AZ152" i="2"/>
  <c r="Y11" i="8"/>
  <c r="Y10" i="8"/>
  <c r="AE19" i="6"/>
  <c r="AE20" i="6"/>
  <c r="AE21" i="6"/>
  <c r="AD17" i="6"/>
  <c r="AD18" i="6"/>
  <c r="AD19" i="6"/>
  <c r="AD20" i="6"/>
  <c r="AF20" i="6" s="1"/>
  <c r="AD21" i="6"/>
  <c r="AD16" i="6"/>
  <c r="AC17" i="6"/>
  <c r="AC18" i="6"/>
  <c r="AC19" i="6"/>
  <c r="AC20" i="6"/>
  <c r="AC21" i="6"/>
  <c r="AC16" i="6"/>
  <c r="AC6" i="6"/>
  <c r="AE6" i="6" s="1"/>
  <c r="AC7" i="6"/>
  <c r="AE7" i="6" s="1"/>
  <c r="AC8" i="6"/>
  <c r="AE8" i="6" s="1"/>
  <c r="AC9" i="6"/>
  <c r="AE9" i="6" s="1"/>
  <c r="AC10" i="6"/>
  <c r="AE10" i="6" s="1"/>
  <c r="AC11" i="6"/>
  <c r="AE11" i="6" s="1"/>
  <c r="AC5" i="6"/>
  <c r="AE5" i="6" s="1"/>
  <c r="BO51" i="2"/>
  <c r="BO42" i="2"/>
  <c r="BT93" i="2"/>
  <c r="BT92" i="2"/>
  <c r="BT91" i="2"/>
  <c r="BS86" i="2"/>
  <c r="BN86" i="2"/>
  <c r="BM86" i="2"/>
  <c r="BL86" i="2"/>
  <c r="BM85" i="2"/>
  <c r="BL85" i="2"/>
  <c r="BM84" i="2"/>
  <c r="BL84" i="2"/>
  <c r="BM83" i="2"/>
  <c r="BL83" i="2"/>
  <c r="BM82" i="2"/>
  <c r="BL82" i="2"/>
  <c r="BM81" i="2"/>
  <c r="BL81" i="2"/>
  <c r="BM80" i="2"/>
  <c r="BL80" i="2"/>
  <c r="BO74" i="2"/>
  <c r="BS85" i="2"/>
  <c r="BO73" i="2"/>
  <c r="BO72" i="2"/>
  <c r="BS83" i="2"/>
  <c r="BO71" i="2"/>
  <c r="BN82" i="2"/>
  <c r="BO70" i="2"/>
  <c r="BS81" i="2"/>
  <c r="BO69" i="2"/>
  <c r="BS68" i="2"/>
  <c r="BS80" i="2" s="1"/>
  <c r="BO68" i="2"/>
  <c r="BN48" i="2"/>
  <c r="BN47" i="2"/>
  <c r="BN39" i="2"/>
  <c r="BN38" i="2"/>
  <c r="BN33" i="2"/>
  <c r="B20" i="10"/>
  <c r="B21" i="10"/>
  <c r="B22" i="10"/>
  <c r="B19" i="10"/>
  <c r="D15" i="10"/>
  <c r="E15" i="10"/>
  <c r="G15" i="10"/>
  <c r="H15" i="10"/>
  <c r="I15" i="10"/>
  <c r="J15" i="10"/>
  <c r="L15" i="10"/>
  <c r="M15" i="10"/>
  <c r="N15" i="10"/>
  <c r="C15" i="10"/>
  <c r="O14" i="10"/>
  <c r="AE18" i="6"/>
  <c r="AE16" i="6"/>
  <c r="X17" i="6"/>
  <c r="X18" i="6"/>
  <c r="X19" i="6"/>
  <c r="X20" i="6"/>
  <c r="X21" i="6"/>
  <c r="X16" i="6"/>
  <c r="W17" i="6"/>
  <c r="W18" i="6"/>
  <c r="W19" i="6"/>
  <c r="W20" i="6"/>
  <c r="W21" i="6"/>
  <c r="W16" i="6"/>
  <c r="W6" i="6"/>
  <c r="W7" i="6"/>
  <c r="W8" i="6"/>
  <c r="W9" i="6"/>
  <c r="W10" i="6"/>
  <c r="Y10" i="6" s="1"/>
  <c r="W11" i="6"/>
  <c r="Y11" i="6" s="1"/>
  <c r="W5" i="6"/>
  <c r="Y5" i="6" s="1"/>
  <c r="R17" i="6"/>
  <c r="R18" i="6"/>
  <c r="R19" i="6"/>
  <c r="R20" i="6"/>
  <c r="R21" i="6"/>
  <c r="R16" i="6"/>
  <c r="Q17" i="6"/>
  <c r="Q18" i="6"/>
  <c r="Q19" i="6"/>
  <c r="Q20" i="6"/>
  <c r="Q21" i="6"/>
  <c r="Q16" i="6"/>
  <c r="Q6" i="6"/>
  <c r="Q7" i="6"/>
  <c r="Q8" i="6"/>
  <c r="Q9" i="6"/>
  <c r="Q10" i="6"/>
  <c r="Q11" i="6"/>
  <c r="Q5" i="6"/>
  <c r="BF93" i="2"/>
  <c r="BF92" i="2"/>
  <c r="BF91" i="2"/>
  <c r="AZ86" i="2"/>
  <c r="AX86" i="2"/>
  <c r="AX85" i="2"/>
  <c r="AX84" i="2"/>
  <c r="AX83" i="2"/>
  <c r="AX82" i="2"/>
  <c r="AX81" i="2"/>
  <c r="AX80" i="2"/>
  <c r="BA74" i="2"/>
  <c r="BA73" i="2"/>
  <c r="AZ84" i="2"/>
  <c r="BA72" i="2"/>
  <c r="BA71" i="2"/>
  <c r="BA70" i="2"/>
  <c r="BA69" i="2"/>
  <c r="BE68" i="2"/>
  <c r="AZ80" i="2" s="1"/>
  <c r="BA68" i="2"/>
  <c r="AR93" i="2"/>
  <c r="AR91" i="2"/>
  <c r="AQ86" i="2"/>
  <c r="AL86" i="2"/>
  <c r="AK86" i="2"/>
  <c r="AJ86" i="2"/>
  <c r="AK85" i="2"/>
  <c r="AJ85" i="2"/>
  <c r="AK84" i="2"/>
  <c r="AJ84" i="2"/>
  <c r="AK83" i="2"/>
  <c r="AJ83" i="2"/>
  <c r="AK82" i="2"/>
  <c r="AJ82" i="2"/>
  <c r="AK81" i="2"/>
  <c r="AJ81" i="2"/>
  <c r="AK80" i="2"/>
  <c r="AJ80" i="2"/>
  <c r="AM74" i="2"/>
  <c r="AQ85" i="2"/>
  <c r="AM73" i="2"/>
  <c r="AQ84" i="2"/>
  <c r="AM72" i="2"/>
  <c r="AQ83" i="2"/>
  <c r="AM71" i="2"/>
  <c r="AL82" i="2"/>
  <c r="AM70" i="2"/>
  <c r="AQ81" i="2"/>
  <c r="AM69" i="2"/>
  <c r="AQ68" i="2"/>
  <c r="AQ80" i="2" s="1"/>
  <c r="AM68" i="2"/>
  <c r="AD93" i="2"/>
  <c r="Y92" i="2"/>
  <c r="AD91" i="2"/>
  <c r="AC86" i="2"/>
  <c r="X86" i="2"/>
  <c r="W86" i="2"/>
  <c r="V86" i="2"/>
  <c r="W85" i="2"/>
  <c r="V85" i="2"/>
  <c r="W84" i="2"/>
  <c r="V84" i="2"/>
  <c r="W83" i="2"/>
  <c r="V83" i="2"/>
  <c r="W82" i="2"/>
  <c r="V82" i="2"/>
  <c r="W81" i="2"/>
  <c r="V81" i="2"/>
  <c r="W80" i="2"/>
  <c r="V80" i="2"/>
  <c r="Y74" i="2"/>
  <c r="AC85" i="2"/>
  <c r="Y73" i="2"/>
  <c r="AC84" i="2"/>
  <c r="Y72" i="2"/>
  <c r="AC83" i="2"/>
  <c r="Y71" i="2"/>
  <c r="X82" i="2"/>
  <c r="Y70" i="2"/>
  <c r="AC81" i="2"/>
  <c r="Y69" i="2"/>
  <c r="AC68" i="2"/>
  <c r="AC80" i="2" s="1"/>
  <c r="Y68" i="2"/>
  <c r="BA51" i="2"/>
  <c r="BA42" i="2"/>
  <c r="AZ48" i="2"/>
  <c r="AZ47" i="2"/>
  <c r="AZ39" i="2"/>
  <c r="AZ38" i="2"/>
  <c r="AZ33" i="2"/>
  <c r="AZ29" i="2"/>
  <c r="AZ20" i="2"/>
  <c r="Z6" i="6" l="1"/>
  <c r="Y6" i="6"/>
  <c r="Z8" i="6"/>
  <c r="Y8" i="6"/>
  <c r="Z7" i="6"/>
  <c r="Y7" i="6"/>
  <c r="Z9" i="6"/>
  <c r="Y9" i="6"/>
  <c r="BT200" i="2"/>
  <c r="D34" i="13"/>
  <c r="AB34" i="13" s="1"/>
  <c r="AC34" i="13" s="1"/>
  <c r="Z10" i="6"/>
  <c r="AF10" i="6"/>
  <c r="Z11" i="6"/>
  <c r="AF11" i="6"/>
  <c r="BT204" i="2"/>
  <c r="BT81" i="2"/>
  <c r="AD92" i="2"/>
  <c r="AD100" i="2" s="1"/>
  <c r="AR92" i="2"/>
  <c r="AR100" i="2" s="1"/>
  <c r="BT83" i="2"/>
  <c r="BT202" i="2"/>
  <c r="BF219" i="2"/>
  <c r="AF19" i="6"/>
  <c r="Z53" i="6"/>
  <c r="Z51" i="6"/>
  <c r="AF53" i="6"/>
  <c r="BF200" i="2"/>
  <c r="Z52" i="6"/>
  <c r="AF52" i="6"/>
  <c r="AF18" i="6"/>
  <c r="AF51" i="6"/>
  <c r="BF203" i="2"/>
  <c r="BF202" i="2"/>
  <c r="BF204" i="2"/>
  <c r="BT86" i="2"/>
  <c r="BT80" i="2"/>
  <c r="BT85" i="2"/>
  <c r="BO205" i="2"/>
  <c r="BA205" i="2"/>
  <c r="AR83" i="2"/>
  <c r="AR85" i="2"/>
  <c r="AR80" i="2"/>
  <c r="AH34" i="13"/>
  <c r="AD80" i="2"/>
  <c r="AD83" i="2"/>
  <c r="AZ162" i="2"/>
  <c r="AD85" i="2"/>
  <c r="AD84" i="2"/>
  <c r="BF81" i="2"/>
  <c r="BF83" i="2"/>
  <c r="BF85" i="2"/>
  <c r="AR84" i="2"/>
  <c r="AR86" i="2"/>
  <c r="BO86" i="2"/>
  <c r="BF82" i="2"/>
  <c r="BN162" i="2"/>
  <c r="AD68" i="2"/>
  <c r="L5" i="6" s="1"/>
  <c r="X80" i="2"/>
  <c r="Y80" i="2" s="1"/>
  <c r="AR68" i="2"/>
  <c r="R5" i="6" s="1"/>
  <c r="AL80" i="2"/>
  <c r="AM80" i="2" s="1"/>
  <c r="AZ82" i="2"/>
  <c r="BA82" i="2" s="1"/>
  <c r="BN80" i="2"/>
  <c r="BO80" i="2" s="1"/>
  <c r="BF84" i="2"/>
  <c r="AZ43" i="2"/>
  <c r="BN43" i="2"/>
  <c r="E8" i="13"/>
  <c r="D11" i="13" s="1"/>
  <c r="F11" i="12"/>
  <c r="AC82" i="2"/>
  <c r="AD82" i="2" s="1"/>
  <c r="Y86" i="2"/>
  <c r="AQ82" i="2"/>
  <c r="AR82" i="2" s="1"/>
  <c r="BE80" i="2"/>
  <c r="BF80" i="2" s="1"/>
  <c r="BA86" i="2"/>
  <c r="Z49" i="6"/>
  <c r="AE49" i="6"/>
  <c r="AF49" i="6" s="1"/>
  <c r="AL84" i="2"/>
  <c r="AM84" i="2" s="1"/>
  <c r="AD81" i="2"/>
  <c r="Y82" i="2"/>
  <c r="AD86" i="2"/>
  <c r="AR81" i="2"/>
  <c r="AM82" i="2"/>
  <c r="AM86" i="2"/>
  <c r="BF68" i="2"/>
  <c r="X5" i="6" s="1"/>
  <c r="Z5" i="6" s="1"/>
  <c r="BA84" i="2"/>
  <c r="BF86" i="2"/>
  <c r="AF43" i="6"/>
  <c r="BS84" i="2"/>
  <c r="BT84" i="2" s="1"/>
  <c r="BN84" i="2"/>
  <c r="BO84" i="2" s="1"/>
  <c r="AE17" i="6"/>
  <c r="AF17" i="6" s="1"/>
  <c r="BF199" i="2"/>
  <c r="BF100" i="2"/>
  <c r="BE201" i="2"/>
  <c r="BF201" i="2" s="1"/>
  <c r="AZ201" i="2"/>
  <c r="BA201" i="2" s="1"/>
  <c r="BT68" i="2"/>
  <c r="AD5" i="6" s="1"/>
  <c r="BS82" i="2"/>
  <c r="BT82" i="2" s="1"/>
  <c r="BF187" i="2"/>
  <c r="X37" i="6" s="1"/>
  <c r="BT201" i="2"/>
  <c r="BO82" i="2"/>
  <c r="BT199" i="2"/>
  <c r="BT203" i="2"/>
  <c r="AZ199" i="2"/>
  <c r="BA199" i="2" s="1"/>
  <c r="AZ203" i="2"/>
  <c r="BA203" i="2" s="1"/>
  <c r="AF21" i="6"/>
  <c r="BA200" i="2"/>
  <c r="BA202" i="2"/>
  <c r="BA204" i="2"/>
  <c r="BF205" i="2"/>
  <c r="BT205" i="2"/>
  <c r="BT219" i="2"/>
  <c r="BT187" i="2"/>
  <c r="AD37" i="6" s="1"/>
  <c r="BN199" i="2"/>
  <c r="BO199" i="2" s="1"/>
  <c r="BN200" i="2"/>
  <c r="BO200" i="2" s="1"/>
  <c r="BN201" i="2"/>
  <c r="BO201" i="2" s="1"/>
  <c r="BN202" i="2"/>
  <c r="BO202" i="2" s="1"/>
  <c r="BN203" i="2"/>
  <c r="BO203" i="2" s="1"/>
  <c r="BN204" i="2"/>
  <c r="BO204" i="2" s="1"/>
  <c r="AF16" i="6"/>
  <c r="BT100" i="2"/>
  <c r="BN81" i="2"/>
  <c r="BO81" i="2" s="1"/>
  <c r="BN83" i="2"/>
  <c r="BO83" i="2" s="1"/>
  <c r="BN85" i="2"/>
  <c r="BO85" i="2" s="1"/>
  <c r="C41" i="10"/>
  <c r="C42" i="10"/>
  <c r="BA80" i="2"/>
  <c r="AZ81" i="2"/>
  <c r="BA81" i="2" s="1"/>
  <c r="AZ83" i="2"/>
  <c r="BA83" i="2" s="1"/>
  <c r="AZ85" i="2"/>
  <c r="BA85" i="2" s="1"/>
  <c r="AL81" i="2"/>
  <c r="AM81" i="2" s="1"/>
  <c r="AL83" i="2"/>
  <c r="AM83" i="2" s="1"/>
  <c r="AL85" i="2"/>
  <c r="AM85" i="2" s="1"/>
  <c r="X81" i="2"/>
  <c r="Y81" i="2" s="1"/>
  <c r="X83" i="2"/>
  <c r="Y83" i="2" s="1"/>
  <c r="X84" i="2"/>
  <c r="Y84" i="2" s="1"/>
  <c r="X85" i="2"/>
  <c r="Y85" i="2" s="1"/>
  <c r="J34" i="13" l="1"/>
  <c r="V34" i="13"/>
  <c r="E34" i="13"/>
  <c r="AN34" i="13"/>
  <c r="P34" i="13"/>
  <c r="O17" i="1"/>
  <c r="Z43" i="6"/>
  <c r="BF207" i="2"/>
  <c r="BF221" i="2" s="1"/>
  <c r="BA225" i="2" s="1"/>
  <c r="BF88" i="2"/>
  <c r="BF102" i="2" s="1"/>
  <c r="BA106" i="2" s="1"/>
  <c r="BT88" i="2"/>
  <c r="BT102" i="2" s="1"/>
  <c r="BO106" i="2" s="1"/>
  <c r="AD88" i="2"/>
  <c r="AD102" i="2" s="1"/>
  <c r="AR88" i="2"/>
  <c r="AR102" i="2" s="1"/>
  <c r="AE48" i="6"/>
  <c r="AF48" i="6" s="1"/>
  <c r="Z48" i="6"/>
  <c r="AF42" i="6"/>
  <c r="Z42" i="6"/>
  <c r="AE50" i="6"/>
  <c r="AF50" i="6" s="1"/>
  <c r="Z50" i="6"/>
  <c r="BT207" i="2"/>
  <c r="BT221" i="2" s="1"/>
  <c r="BO225" i="2" s="1"/>
  <c r="D42" i="3"/>
  <c r="AT25" i="3"/>
  <c r="H20" i="5"/>
  <c r="AT26" i="3" l="1"/>
  <c r="D37" i="3"/>
  <c r="R37" i="3" s="1"/>
  <c r="BP33" i="2"/>
  <c r="H51" i="2"/>
  <c r="J51" i="2" s="1"/>
  <c r="J53" i="2" s="1"/>
  <c r="AF60" i="3"/>
  <c r="AG60" i="3" s="1"/>
  <c r="AF66" i="3"/>
  <c r="R26" i="3"/>
  <c r="AM26" i="3"/>
  <c r="K26" i="3"/>
  <c r="AM25" i="3"/>
  <c r="AN25" i="3" s="1"/>
  <c r="R25" i="3"/>
  <c r="K25" i="3"/>
  <c r="Y60" i="3"/>
  <c r="Z60" i="3" s="1"/>
  <c r="R36" i="3"/>
  <c r="K36" i="3"/>
  <c r="Y66" i="3"/>
  <c r="R42" i="3"/>
  <c r="K42" i="3"/>
  <c r="AL48" i="2"/>
  <c r="AL47" i="2"/>
  <c r="AL39" i="2"/>
  <c r="AL38" i="2"/>
  <c r="AL33" i="2"/>
  <c r="Y61" i="3" l="1"/>
  <c r="K37" i="3"/>
  <c r="AF61" i="3"/>
  <c r="AL43" i="2"/>
  <c r="BP152" i="2"/>
  <c r="BB152" i="2"/>
  <c r="AN33" i="2"/>
  <c r="AN50" i="2"/>
  <c r="AN49" i="2"/>
  <c r="AN48" i="2"/>
  <c r="AN41" i="2"/>
  <c r="AN40" i="2"/>
  <c r="AN39" i="2"/>
  <c r="AL29" i="2"/>
  <c r="AN38" i="2"/>
  <c r="AN47" i="2"/>
  <c r="H6" i="8"/>
  <c r="X39" i="2"/>
  <c r="X38" i="2"/>
  <c r="T18" i="6"/>
  <c r="Z21" i="6"/>
  <c r="Z20" i="6"/>
  <c r="Z19" i="6"/>
  <c r="Z18" i="6"/>
  <c r="Z17" i="6"/>
  <c r="Z16" i="6"/>
  <c r="T11" i="8"/>
  <c r="T10" i="8"/>
  <c r="O11" i="8"/>
  <c r="O10" i="8"/>
  <c r="X33" i="2"/>
  <c r="E81" i="2"/>
  <c r="E82" i="2"/>
  <c r="E83" i="2"/>
  <c r="E84" i="2"/>
  <c r="E85" i="2"/>
  <c r="E86" i="2"/>
  <c r="E80" i="2"/>
  <c r="H44" i="2"/>
  <c r="F42" i="2"/>
  <c r="F33" i="2"/>
  <c r="F23" i="2"/>
  <c r="F28" i="2" s="1"/>
  <c r="F41" i="2"/>
  <c r="K86" i="2"/>
  <c r="D85" i="2"/>
  <c r="D86" i="2"/>
  <c r="K85" i="2"/>
  <c r="E5" i="2"/>
  <c r="D41" i="3"/>
  <c r="D40" i="3"/>
  <c r="AT28" i="3"/>
  <c r="C20" i="3"/>
  <c r="L20" i="10"/>
  <c r="F19" i="10"/>
  <c r="T19" i="6"/>
  <c r="T21" i="6"/>
  <c r="T20" i="6"/>
  <c r="BA18" i="2"/>
  <c r="X48" i="2"/>
  <c r="X47" i="2"/>
  <c r="O13" i="10"/>
  <c r="E22" i="10"/>
  <c r="F22" i="10"/>
  <c r="G22" i="10"/>
  <c r="H22" i="10"/>
  <c r="I22" i="10"/>
  <c r="J22" i="10"/>
  <c r="K22" i="10"/>
  <c r="L22" i="10"/>
  <c r="M22" i="10"/>
  <c r="N22" i="10"/>
  <c r="O22" i="10"/>
  <c r="E21" i="10"/>
  <c r="H21" i="10"/>
  <c r="I21" i="10"/>
  <c r="J21" i="10"/>
  <c r="N21" i="10"/>
  <c r="O21" i="10"/>
  <c r="D22" i="10"/>
  <c r="D21" i="10"/>
  <c r="M21" i="10"/>
  <c r="L21" i="10"/>
  <c r="K21" i="10"/>
  <c r="G21" i="10"/>
  <c r="E20" i="10"/>
  <c r="D20" i="10"/>
  <c r="H19" i="10"/>
  <c r="I19" i="10"/>
  <c r="J19" i="10"/>
  <c r="O8" i="10"/>
  <c r="O20" i="10"/>
  <c r="N20" i="10"/>
  <c r="M20" i="10"/>
  <c r="K19" i="10"/>
  <c r="K20" i="10"/>
  <c r="J20" i="10"/>
  <c r="H9" i="10"/>
  <c r="G9" i="10"/>
  <c r="G20" i="10"/>
  <c r="G19" i="10"/>
  <c r="F20" i="10"/>
  <c r="D9" i="10"/>
  <c r="D19" i="10"/>
  <c r="F46" i="2" l="1"/>
  <c r="F47" i="2" s="1"/>
  <c r="AE24" i="3"/>
  <c r="AE25" i="3"/>
  <c r="C25" i="3"/>
  <c r="C36" i="3"/>
  <c r="J45" i="2"/>
  <c r="J44" i="2"/>
  <c r="C11" i="13"/>
  <c r="E11" i="13" s="1"/>
  <c r="C17" i="1"/>
  <c r="E7" i="2"/>
  <c r="AF64" i="3"/>
  <c r="BA27" i="2"/>
  <c r="BB27" i="2" s="1"/>
  <c r="BB18" i="2"/>
  <c r="AF65" i="3"/>
  <c r="BP47" i="2"/>
  <c r="BB47" i="2"/>
  <c r="BO52" i="2"/>
  <c r="BP38" i="2"/>
  <c r="BB38" i="2"/>
  <c r="BB33" i="2"/>
  <c r="BP40" i="2"/>
  <c r="BB40" i="2"/>
  <c r="BP49" i="2"/>
  <c r="BB49" i="2"/>
  <c r="BP48" i="2"/>
  <c r="BB48" i="2"/>
  <c r="BP50" i="2"/>
  <c r="BB50" i="2"/>
  <c r="X56" i="3"/>
  <c r="AE56" i="3"/>
  <c r="C40" i="3"/>
  <c r="E40" i="3" s="1"/>
  <c r="X40" i="3" s="1"/>
  <c r="AE40" i="3" s="1"/>
  <c r="C4" i="8"/>
  <c r="Y64" i="3"/>
  <c r="R40" i="3"/>
  <c r="K40" i="3"/>
  <c r="R28" i="3"/>
  <c r="AM28" i="3"/>
  <c r="K28" i="3"/>
  <c r="Y65" i="3"/>
  <c r="R41" i="3"/>
  <c r="K41" i="3"/>
  <c r="C21" i="5"/>
  <c r="D21" i="5" s="1"/>
  <c r="X43" i="2"/>
  <c r="G26" i="2"/>
  <c r="H26" i="2" s="1"/>
  <c r="J26" i="2" s="1"/>
  <c r="H43" i="2"/>
  <c r="J43" i="2" s="1"/>
  <c r="Z38" i="2"/>
  <c r="Z39" i="2"/>
  <c r="Z40" i="2"/>
  <c r="AN43" i="2"/>
  <c r="AN53" i="2"/>
  <c r="Z41" i="2"/>
  <c r="Z50" i="2"/>
  <c r="T16" i="6"/>
  <c r="J23" i="10"/>
  <c r="T17" i="6"/>
  <c r="Z33" i="2"/>
  <c r="H42" i="2"/>
  <c r="J42" i="2" s="1"/>
  <c r="H41" i="2"/>
  <c r="J41" i="2" s="1"/>
  <c r="O7" i="10"/>
  <c r="P22" i="10"/>
  <c r="Z48" i="2"/>
  <c r="Z49" i="2"/>
  <c r="Z47" i="2"/>
  <c r="D23" i="10"/>
  <c r="N19" i="10"/>
  <c r="N23" i="10" s="1"/>
  <c r="L19" i="10"/>
  <c r="L23" i="10" s="1"/>
  <c r="I20" i="10"/>
  <c r="I23" i="10" s="1"/>
  <c r="F21" i="10"/>
  <c r="P21" i="10" s="1"/>
  <c r="O19" i="10"/>
  <c r="O23" i="10" s="1"/>
  <c r="M19" i="10"/>
  <c r="M23" i="10" s="1"/>
  <c r="E19" i="10"/>
  <c r="E23" i="10" s="1"/>
  <c r="H20" i="10"/>
  <c r="H23" i="10" s="1"/>
  <c r="M9" i="10"/>
  <c r="I9" i="10"/>
  <c r="C9" i="10"/>
  <c r="F9" i="10"/>
  <c r="J9" i="10"/>
  <c r="N9" i="10"/>
  <c r="K9" i="10"/>
  <c r="E9" i="10"/>
  <c r="O5" i="10"/>
  <c r="O6" i="10"/>
  <c r="K23" i="10"/>
  <c r="G23" i="10"/>
  <c r="L9" i="10"/>
  <c r="D39" i="3"/>
  <c r="C29" i="3" l="1"/>
  <c r="AE28" i="3" s="1"/>
  <c r="C27" i="3"/>
  <c r="C41" i="3"/>
  <c r="F41" i="3" s="1"/>
  <c r="Y41" i="3" s="1"/>
  <c r="AF41" i="3" s="1"/>
  <c r="C39" i="3"/>
  <c r="C26" i="3"/>
  <c r="E26" i="3" s="1"/>
  <c r="X25" i="3" s="1"/>
  <c r="X52" i="2"/>
  <c r="AL52" i="2" s="1"/>
  <c r="AZ52" i="2" s="1"/>
  <c r="D26" i="5"/>
  <c r="C37" i="3"/>
  <c r="E37" i="3" s="1"/>
  <c r="X38" i="3" s="1"/>
  <c r="AE38" i="3" s="1"/>
  <c r="C42" i="3"/>
  <c r="E42" i="3" s="1"/>
  <c r="X42" i="3" s="1"/>
  <c r="AE42" i="3" s="1"/>
  <c r="F40" i="3"/>
  <c r="Y40" i="3" s="1"/>
  <c r="F26" i="3"/>
  <c r="Y25" i="3" s="1"/>
  <c r="AF25" i="3" s="1"/>
  <c r="E36" i="3"/>
  <c r="X37" i="3" s="1"/>
  <c r="AE37" i="3" s="1"/>
  <c r="D27" i="5"/>
  <c r="D28" i="5"/>
  <c r="BP53" i="2"/>
  <c r="BP169" i="2"/>
  <c r="BB169" i="2"/>
  <c r="BP166" i="2"/>
  <c r="BB166" i="2"/>
  <c r="BP167" i="2"/>
  <c r="BB167" i="2"/>
  <c r="BP168" i="2"/>
  <c r="BB168" i="2"/>
  <c r="BP159" i="2"/>
  <c r="BB159" i="2"/>
  <c r="AF63" i="3"/>
  <c r="BP157" i="2"/>
  <c r="BB157" i="2"/>
  <c r="BB53" i="2"/>
  <c r="O35" i="9"/>
  <c r="S35" i="9"/>
  <c r="AE27" i="3"/>
  <c r="Y63" i="3"/>
  <c r="R39" i="3"/>
  <c r="K39" i="3"/>
  <c r="AP18" i="2"/>
  <c r="AM27" i="2"/>
  <c r="AN27" i="2" s="1"/>
  <c r="Z43" i="2"/>
  <c r="F28" i="3"/>
  <c r="Y27" i="3" s="1"/>
  <c r="AF27" i="3" s="1"/>
  <c r="F23" i="10"/>
  <c r="P19" i="10"/>
  <c r="Z53" i="2"/>
  <c r="P20" i="10"/>
  <c r="O9" i="10"/>
  <c r="E25" i="3"/>
  <c r="X24" i="3" s="1"/>
  <c r="C27" i="10" l="1"/>
  <c r="W36" i="5"/>
  <c r="R36" i="5"/>
  <c r="AN52" i="2"/>
  <c r="X61" i="3"/>
  <c r="Z61" i="3" s="1"/>
  <c r="Z38" i="3"/>
  <c r="AE61" i="3"/>
  <c r="AG61" i="3" s="1"/>
  <c r="AG38" i="3"/>
  <c r="X53" i="2"/>
  <c r="AL53" i="2" s="1"/>
  <c r="AZ53" i="2" s="1"/>
  <c r="AZ172" i="2" s="1"/>
  <c r="BN172" i="2" s="1"/>
  <c r="Z52" i="2"/>
  <c r="T41" i="9"/>
  <c r="F42" i="3"/>
  <c r="Y42" i="3" s="1"/>
  <c r="AF42" i="3" s="1"/>
  <c r="AF40" i="3"/>
  <c r="O37" i="9"/>
  <c r="O39" i="9" s="1"/>
  <c r="O46" i="9" s="1"/>
  <c r="R35" i="8" s="1"/>
  <c r="R50" i="8" s="1"/>
  <c r="S50" i="8" s="1"/>
  <c r="S37" i="9"/>
  <c r="S39" i="9" s="1"/>
  <c r="S46" i="9" s="1"/>
  <c r="W35" i="8" s="1"/>
  <c r="W50" i="8" s="1"/>
  <c r="X50" i="8" s="1"/>
  <c r="AT27" i="3"/>
  <c r="F37" i="3"/>
  <c r="Y38" i="3" s="1"/>
  <c r="AT29" i="3"/>
  <c r="E43" i="3"/>
  <c r="X44" i="3" s="1"/>
  <c r="AE44" i="3" s="1"/>
  <c r="F39" i="3"/>
  <c r="O53" i="9"/>
  <c r="O54" i="9" s="1"/>
  <c r="S43" i="9"/>
  <c r="W54" i="5" s="1"/>
  <c r="X54" i="5" s="1"/>
  <c r="O43" i="9"/>
  <c r="R54" i="5" s="1"/>
  <c r="S54" i="5" s="1"/>
  <c r="BN52" i="2"/>
  <c r="BP52" i="2" s="1"/>
  <c r="AZ171" i="2"/>
  <c r="BB52" i="2"/>
  <c r="S52" i="9"/>
  <c r="O51" i="9"/>
  <c r="BB172" i="2"/>
  <c r="BP172" i="2"/>
  <c r="BM126" i="2"/>
  <c r="AY126" i="2"/>
  <c r="C43" i="3"/>
  <c r="F29" i="3"/>
  <c r="Y28" i="3" s="1"/>
  <c r="AF28" i="3" s="1"/>
  <c r="K29" i="3"/>
  <c r="R29" i="3"/>
  <c r="AM29" i="3"/>
  <c r="K27" i="3"/>
  <c r="R27" i="3"/>
  <c r="AM27" i="3"/>
  <c r="P23" i="10"/>
  <c r="BA15" i="2"/>
  <c r="S61" i="5" l="1"/>
  <c r="S59" i="5"/>
  <c r="S60" i="5"/>
  <c r="X61" i="5"/>
  <c r="X59" i="5"/>
  <c r="X60" i="5"/>
  <c r="S36" i="5"/>
  <c r="S41" i="5"/>
  <c r="X36" i="5"/>
  <c r="X41" i="5"/>
  <c r="AE54" i="10"/>
  <c r="AE61" i="10" s="1"/>
  <c r="X54" i="10"/>
  <c r="J27" i="10"/>
  <c r="Y54" i="10"/>
  <c r="R34" i="10"/>
  <c r="AG34" i="13"/>
  <c r="AI34" i="13" s="1"/>
  <c r="AM34" i="13"/>
  <c r="AO34" i="13" s="1"/>
  <c r="AF54" i="10"/>
  <c r="AF34" i="10"/>
  <c r="D27" i="10"/>
  <c r="E27" i="10" s="1"/>
  <c r="AE64" i="3"/>
  <c r="AG64" i="3" s="1"/>
  <c r="AG40" i="3"/>
  <c r="AH40" i="3" s="1"/>
  <c r="Z40" i="3"/>
  <c r="AA40" i="3" s="1"/>
  <c r="X64" i="3"/>
  <c r="Z64" i="3" s="1"/>
  <c r="X62" i="3"/>
  <c r="Z62" i="3" s="1"/>
  <c r="Z43" i="3"/>
  <c r="AA43" i="3" s="1"/>
  <c r="O42" i="1"/>
  <c r="BN53" i="2"/>
  <c r="AH27" i="3"/>
  <c r="AH25" i="3"/>
  <c r="O40" i="9"/>
  <c r="F43" i="3"/>
  <c r="Y44" i="3" s="1"/>
  <c r="Y39" i="3"/>
  <c r="AF39" i="3" s="1"/>
  <c r="S40" i="9"/>
  <c r="AG42" i="3" s="1"/>
  <c r="AF38" i="3"/>
  <c r="AA38" i="3"/>
  <c r="AY216" i="2"/>
  <c r="X54" i="6" s="1"/>
  <c r="Z54" i="6" s="1"/>
  <c r="D34" i="10"/>
  <c r="E34" i="10" s="1"/>
  <c r="BN171" i="2"/>
  <c r="BP171" i="2" s="1"/>
  <c r="BB171" i="2"/>
  <c r="BD176" i="2"/>
  <c r="L42" i="1"/>
  <c r="AY128" i="2"/>
  <c r="R32" i="8"/>
  <c r="R41" i="8" s="1"/>
  <c r="L31" i="1" s="1"/>
  <c r="BB15" i="2"/>
  <c r="BA24" i="2"/>
  <c r="BB24" i="2" s="1"/>
  <c r="W32" i="8"/>
  <c r="W41" i="8" s="1"/>
  <c r="O31" i="1" s="1"/>
  <c r="BM128" i="2"/>
  <c r="X61" i="10"/>
  <c r="BO146" i="2"/>
  <c r="BA146" i="2"/>
  <c r="Y34" i="10"/>
  <c r="G23" i="2"/>
  <c r="H23" i="2" s="1"/>
  <c r="BA143" i="2" s="1"/>
  <c r="C14" i="1"/>
  <c r="K34" i="10"/>
  <c r="J11" i="8"/>
  <c r="H14" i="8" s="1"/>
  <c r="F5" i="1" s="1"/>
  <c r="E11" i="8"/>
  <c r="J10" i="8"/>
  <c r="E10" i="8"/>
  <c r="AF41" i="10" l="1"/>
  <c r="R41" i="10"/>
  <c r="AF61" i="10"/>
  <c r="S40" i="5"/>
  <c r="S44" i="5"/>
  <c r="S45" i="5"/>
  <c r="S43" i="5"/>
  <c r="X40" i="5"/>
  <c r="X44" i="5"/>
  <c r="X43" i="5"/>
  <c r="X45" i="5"/>
  <c r="Y61" i="10"/>
  <c r="K41" i="10"/>
  <c r="AG54" i="10"/>
  <c r="AH38" i="3"/>
  <c r="AF44" i="3"/>
  <c r="AE66" i="3"/>
  <c r="AG66" i="3" s="1"/>
  <c r="AH42" i="3"/>
  <c r="Z42" i="3"/>
  <c r="AA42" i="3" s="1"/>
  <c r="X66" i="3"/>
  <c r="Z66" i="3" s="1"/>
  <c r="Y41" i="10"/>
  <c r="BA16" i="2"/>
  <c r="BA25" i="2" s="1"/>
  <c r="BB25" i="2" s="1"/>
  <c r="AM16" i="2"/>
  <c r="AN16" i="2" s="1"/>
  <c r="BA17" i="2"/>
  <c r="BB17" i="2" s="1"/>
  <c r="AM17" i="2"/>
  <c r="AN17" i="2" s="1"/>
  <c r="BO143" i="2"/>
  <c r="Z54" i="10"/>
  <c r="BR170" i="2"/>
  <c r="BR167" i="2"/>
  <c r="BR168" i="2"/>
  <c r="BR166" i="2"/>
  <c r="BR169" i="2"/>
  <c r="BR171" i="2"/>
  <c r="D41" i="10"/>
  <c r="E41" i="10" s="1"/>
  <c r="L27" i="10"/>
  <c r="K27" i="10"/>
  <c r="G25" i="2"/>
  <c r="H25" i="2" s="1"/>
  <c r="AM24" i="2"/>
  <c r="AN24" i="2" s="1"/>
  <c r="G24" i="2"/>
  <c r="H24" i="2" s="1"/>
  <c r="J23" i="2"/>
  <c r="C17" i="6"/>
  <c r="L17" i="6" s="1"/>
  <c r="N17" i="6" s="1"/>
  <c r="C18" i="6"/>
  <c r="L18" i="6" s="1"/>
  <c r="N18" i="6" s="1"/>
  <c r="C19" i="6"/>
  <c r="L19" i="6" s="1"/>
  <c r="N19" i="6" s="1"/>
  <c r="C20" i="6"/>
  <c r="L20" i="6" s="1"/>
  <c r="N20" i="6" s="1"/>
  <c r="C21" i="6"/>
  <c r="L21" i="6" s="1"/>
  <c r="N21" i="6" s="1"/>
  <c r="C16" i="6"/>
  <c r="L16" i="6" s="1"/>
  <c r="N16" i="6" s="1"/>
  <c r="B19" i="6"/>
  <c r="K19" i="6" s="1"/>
  <c r="B20" i="6"/>
  <c r="K20" i="6" s="1"/>
  <c r="B21" i="6"/>
  <c r="K21" i="6" s="1"/>
  <c r="B16" i="6"/>
  <c r="K16" i="6" s="1"/>
  <c r="B17" i="6"/>
  <c r="K17" i="6" s="1"/>
  <c r="B18" i="6"/>
  <c r="K18" i="6" s="1"/>
  <c r="B6" i="6"/>
  <c r="D6" i="6" s="1"/>
  <c r="B7" i="6"/>
  <c r="D7" i="6" s="1"/>
  <c r="B8" i="6"/>
  <c r="D8" i="6" s="1"/>
  <c r="B9" i="6"/>
  <c r="D9" i="6" s="1"/>
  <c r="B10" i="6"/>
  <c r="D10" i="6" s="1"/>
  <c r="B11" i="6"/>
  <c r="D11" i="6" s="1"/>
  <c r="B5" i="6"/>
  <c r="D5" i="6" s="1"/>
  <c r="F32" i="2"/>
  <c r="F37" i="2" s="1"/>
  <c r="G18" i="2"/>
  <c r="AM19" i="2" s="1"/>
  <c r="AN19" i="2" s="1"/>
  <c r="H17" i="2"/>
  <c r="H16" i="2"/>
  <c r="H15" i="2"/>
  <c r="P21" i="13" l="1"/>
  <c r="P25" i="13"/>
  <c r="P8" i="12"/>
  <c r="P18" i="13"/>
  <c r="P22" i="13"/>
  <c r="P26" i="13"/>
  <c r="P9" i="12"/>
  <c r="P19" i="13"/>
  <c r="P23" i="13"/>
  <c r="P27" i="13"/>
  <c r="P10" i="12"/>
  <c r="P20" i="13"/>
  <c r="P24" i="13"/>
  <c r="P17" i="13"/>
  <c r="P7" i="12"/>
  <c r="O7" i="12"/>
  <c r="C28" i="10"/>
  <c r="D35" i="10" s="1"/>
  <c r="E35" i="10" s="1"/>
  <c r="C29" i="10"/>
  <c r="J28" i="10"/>
  <c r="D42" i="10" s="1"/>
  <c r="J29" i="10"/>
  <c r="O23" i="13"/>
  <c r="O25" i="13"/>
  <c r="O27" i="13"/>
  <c r="O9" i="12"/>
  <c r="O17" i="13"/>
  <c r="O24" i="13"/>
  <c r="O26" i="13"/>
  <c r="O8" i="12"/>
  <c r="O10" i="12"/>
  <c r="O18" i="13"/>
  <c r="O20" i="13"/>
  <c r="O22" i="13"/>
  <c r="O19" i="13"/>
  <c r="O21" i="13"/>
  <c r="K11" i="6"/>
  <c r="M11" i="6"/>
  <c r="S11" i="6" s="1"/>
  <c r="T11" i="6" s="1"/>
  <c r="E7" i="6"/>
  <c r="K10" i="6"/>
  <c r="E6" i="6"/>
  <c r="K9" i="6"/>
  <c r="K8" i="6"/>
  <c r="K7" i="6"/>
  <c r="K6" i="6"/>
  <c r="K5" i="6"/>
  <c r="M5" i="6"/>
  <c r="S5" i="6" s="1"/>
  <c r="Z61" i="10"/>
  <c r="BB16" i="2"/>
  <c r="BA26" i="2"/>
  <c r="BB26" i="2" s="1"/>
  <c r="AN20" i="2"/>
  <c r="J17" i="2"/>
  <c r="BN137" i="2"/>
  <c r="AZ137" i="2"/>
  <c r="J15" i="2"/>
  <c r="AZ135" i="2"/>
  <c r="BN135" i="2"/>
  <c r="BB39" i="2"/>
  <c r="BP39" i="2"/>
  <c r="J16" i="2"/>
  <c r="BN136" i="2"/>
  <c r="AZ136" i="2"/>
  <c r="H35" i="2"/>
  <c r="J35" i="2" s="1"/>
  <c r="BP41" i="2"/>
  <c r="BB41" i="2"/>
  <c r="BA19" i="2"/>
  <c r="BR172" i="2"/>
  <c r="J24" i="2"/>
  <c r="BO144" i="2"/>
  <c r="BA144" i="2"/>
  <c r="J25" i="2"/>
  <c r="BO145" i="2"/>
  <c r="BA145" i="2"/>
  <c r="AG61" i="10"/>
  <c r="AM28" i="2"/>
  <c r="AN28" i="2" s="1"/>
  <c r="AP15" i="2"/>
  <c r="AM25" i="2"/>
  <c r="AN25" i="2" s="1"/>
  <c r="AP17" i="2"/>
  <c r="AM26" i="2"/>
  <c r="AN26" i="2" s="1"/>
  <c r="H18" i="2"/>
  <c r="G27" i="2"/>
  <c r="H27" i="2" s="1"/>
  <c r="H33" i="2"/>
  <c r="J33" i="2" s="1"/>
  <c r="H34" i="2"/>
  <c r="J34" i="2" s="1"/>
  <c r="H32" i="2"/>
  <c r="J32" i="2" s="1"/>
  <c r="H14" i="2"/>
  <c r="E21" i="6"/>
  <c r="E19" i="6"/>
  <c r="E20" i="6"/>
  <c r="E16" i="6"/>
  <c r="E17" i="6"/>
  <c r="E18" i="6"/>
  <c r="AF43" i="10" l="1"/>
  <c r="Y43" i="10"/>
  <c r="D43" i="10"/>
  <c r="Y63" i="10"/>
  <c r="K42" i="10"/>
  <c r="R42" i="10" s="1"/>
  <c r="Y42" i="10" s="1"/>
  <c r="L29" i="10"/>
  <c r="K29" i="10" s="1"/>
  <c r="R43" i="10"/>
  <c r="AF63" i="10"/>
  <c r="K43" i="10"/>
  <c r="K35" i="10"/>
  <c r="R35" i="10" s="1"/>
  <c r="Y35" i="10" s="1"/>
  <c r="AF36" i="10"/>
  <c r="R36" i="10"/>
  <c r="Y56" i="10"/>
  <c r="Y36" i="10"/>
  <c r="D36" i="10"/>
  <c r="E36" i="10" s="1"/>
  <c r="AF56" i="10"/>
  <c r="E29" i="10"/>
  <c r="K36" i="10"/>
  <c r="D29" i="10"/>
  <c r="P28" i="13"/>
  <c r="D36" i="13" s="1"/>
  <c r="M6" i="6"/>
  <c r="S6" i="6" s="1"/>
  <c r="T6" i="6" s="1"/>
  <c r="J37" i="2"/>
  <c r="E10" i="6"/>
  <c r="M10" i="6"/>
  <c r="S10" i="6" s="1"/>
  <c r="T10" i="6" s="1"/>
  <c r="E9" i="6"/>
  <c r="M9" i="6"/>
  <c r="S9" i="6" s="1"/>
  <c r="E8" i="6"/>
  <c r="M8" i="6"/>
  <c r="S8" i="6" s="1"/>
  <c r="M7" i="6"/>
  <c r="S7" i="6" s="1"/>
  <c r="T5" i="6"/>
  <c r="E24" i="6"/>
  <c r="BO147" i="2"/>
  <c r="BO148" i="2" s="1"/>
  <c r="BA147" i="2"/>
  <c r="BA148" i="2" s="1"/>
  <c r="AP19" i="2"/>
  <c r="J18" i="2"/>
  <c r="AZ138" i="2"/>
  <c r="BN138" i="2"/>
  <c r="AP16" i="2"/>
  <c r="BB43" i="2"/>
  <c r="BP160" i="2"/>
  <c r="BB160" i="2"/>
  <c r="BP158" i="2"/>
  <c r="BB158" i="2"/>
  <c r="AZ134" i="2"/>
  <c r="BN134" i="2"/>
  <c r="BB19" i="2"/>
  <c r="BA28" i="2"/>
  <c r="BB28" i="2" s="1"/>
  <c r="BP43" i="2"/>
  <c r="AU28" i="3"/>
  <c r="AN29" i="2"/>
  <c r="AK8" i="2" s="1"/>
  <c r="AP20" i="2"/>
  <c r="J27" i="2"/>
  <c r="H28" i="2"/>
  <c r="H37" i="2"/>
  <c r="H19" i="2"/>
  <c r="J14" i="2"/>
  <c r="C4" i="5"/>
  <c r="Y62" i="10" l="1"/>
  <c r="AF42" i="10"/>
  <c r="AF62" i="10" s="1"/>
  <c r="AF35" i="10"/>
  <c r="AF55" i="10" s="1"/>
  <c r="Y55" i="10"/>
  <c r="D9" i="5"/>
  <c r="W37" i="5"/>
  <c r="X37" i="5" s="1"/>
  <c r="X48" i="5" s="1"/>
  <c r="X49" i="5" s="1"/>
  <c r="R37" i="5"/>
  <c r="S37" i="5" s="1"/>
  <c r="S48" i="5" s="1"/>
  <c r="S49" i="5" s="1"/>
  <c r="W5" i="5"/>
  <c r="X5" i="5" s="1"/>
  <c r="X10" i="5" s="1"/>
  <c r="X11" i="5" s="1"/>
  <c r="T9" i="6"/>
  <c r="T8" i="6"/>
  <c r="T7" i="6"/>
  <c r="AF7" i="6"/>
  <c r="AF6" i="6"/>
  <c r="AF5" i="6"/>
  <c r="BB162" i="2"/>
  <c r="BB29" i="2"/>
  <c r="BN139" i="2"/>
  <c r="BB20" i="2"/>
  <c r="AZ139" i="2"/>
  <c r="BP162" i="2"/>
  <c r="J28" i="2"/>
  <c r="W8" i="2"/>
  <c r="J19" i="2"/>
  <c r="D4" i="5"/>
  <c r="D11" i="5" s="1"/>
  <c r="G68" i="2"/>
  <c r="K68" i="2"/>
  <c r="G69" i="2"/>
  <c r="G70" i="2"/>
  <c r="G71" i="2"/>
  <c r="F83" i="2"/>
  <c r="G72" i="2"/>
  <c r="G73" i="2"/>
  <c r="G74" i="2"/>
  <c r="G93" i="2"/>
  <c r="G92" i="2"/>
  <c r="F86" i="2"/>
  <c r="L86" i="2"/>
  <c r="F85" i="2"/>
  <c r="L85" i="2"/>
  <c r="D84" i="2"/>
  <c r="D83" i="2"/>
  <c r="D82" i="2"/>
  <c r="D81" i="2"/>
  <c r="D80" i="2"/>
  <c r="T12" i="6" l="1"/>
  <c r="AF9" i="6"/>
  <c r="AF8" i="6"/>
  <c r="AF12" i="6" s="1"/>
  <c r="AF39" i="6"/>
  <c r="Z39" i="6"/>
  <c r="AF38" i="6"/>
  <c r="Z38" i="6"/>
  <c r="AF37" i="6"/>
  <c r="Z37" i="6"/>
  <c r="D8" i="5"/>
  <c r="D13" i="5"/>
  <c r="D12" i="5"/>
  <c r="E11" i="6"/>
  <c r="N11" i="6"/>
  <c r="N8" i="6"/>
  <c r="N9" i="6"/>
  <c r="N7" i="6"/>
  <c r="N5" i="6"/>
  <c r="N6" i="6"/>
  <c r="N10" i="6"/>
  <c r="L92" i="2"/>
  <c r="L91" i="2"/>
  <c r="L93" i="2"/>
  <c r="K83" i="2"/>
  <c r="L83" i="2" s="1"/>
  <c r="F81" i="2"/>
  <c r="G81" i="2" s="1"/>
  <c r="K81" i="2"/>
  <c r="L81" i="2" s="1"/>
  <c r="F84" i="2"/>
  <c r="G84" i="2" s="1"/>
  <c r="K84" i="2"/>
  <c r="L84" i="2" s="1"/>
  <c r="K82" i="2"/>
  <c r="L82" i="2" s="1"/>
  <c r="F80" i="2"/>
  <c r="G80" i="2" s="1"/>
  <c r="K80" i="2"/>
  <c r="L80" i="2" s="1"/>
  <c r="F82" i="2"/>
  <c r="G82" i="2" s="1"/>
  <c r="L68" i="2"/>
  <c r="G86" i="2"/>
  <c r="G85" i="2"/>
  <c r="G83" i="2"/>
  <c r="D17" i="5" l="1"/>
  <c r="AF41" i="6"/>
  <c r="Z41" i="6"/>
  <c r="AF40" i="6"/>
  <c r="Z40" i="6"/>
  <c r="C5" i="6"/>
  <c r="L88" i="2"/>
  <c r="L100" i="2"/>
  <c r="N12" i="6"/>
  <c r="Z12" i="6"/>
  <c r="Z44" i="6" l="1"/>
  <c r="AF44" i="6"/>
  <c r="E5" i="6"/>
  <c r="E12" i="6" s="1"/>
  <c r="E26" i="6" s="1"/>
  <c r="L102" i="2"/>
  <c r="C15" i="1" l="1"/>
  <c r="G106" i="2"/>
  <c r="C13" i="8"/>
  <c r="C6" i="1" l="1"/>
  <c r="H46" i="2" l="1"/>
  <c r="J46" i="2" s="1"/>
  <c r="J47" i="2" s="1"/>
  <c r="J62" i="2" s="1"/>
  <c r="H47" i="2" l="1"/>
  <c r="G107" i="2" l="1"/>
  <c r="G109" i="2" s="1"/>
  <c r="I109" i="2" l="1"/>
  <c r="Y106" i="2" s="1"/>
  <c r="AK5" i="2"/>
  <c r="W5" i="2"/>
  <c r="I20" i="5"/>
  <c r="AM106" i="2" l="1"/>
  <c r="C5" i="8"/>
  <c r="E19" i="8" s="1"/>
  <c r="C8" i="1" s="1"/>
  <c r="C37" i="13" l="1"/>
  <c r="D28" i="10"/>
  <c r="C43" i="10"/>
  <c r="C6" i="8"/>
  <c r="C14" i="8" s="1"/>
  <c r="C5" i="1" s="1"/>
  <c r="C20" i="5"/>
  <c r="E6" i="2"/>
  <c r="E28" i="10" l="1"/>
  <c r="E19" i="12"/>
  <c r="E20" i="12"/>
  <c r="E18" i="12"/>
  <c r="E17" i="12"/>
  <c r="O28" i="13"/>
  <c r="J36" i="13" s="1"/>
  <c r="J20" i="5"/>
  <c r="I24" i="5" s="1"/>
  <c r="AE26" i="3"/>
  <c r="AE30" i="3" s="1"/>
  <c r="L28" i="10"/>
  <c r="E43" i="10"/>
  <c r="D24" i="5"/>
  <c r="D31" i="5" s="1"/>
  <c r="C34" i="5" s="1"/>
  <c r="C7" i="1" s="1"/>
  <c r="D20" i="5"/>
  <c r="F27" i="3"/>
  <c r="C31" i="3"/>
  <c r="C15" i="8"/>
  <c r="AH36" i="13" l="1"/>
  <c r="V36" i="13"/>
  <c r="AN36" i="13"/>
  <c r="AB36" i="13"/>
  <c r="P36" i="13"/>
  <c r="D35" i="13"/>
  <c r="E35" i="13" s="1"/>
  <c r="E21" i="12"/>
  <c r="C16" i="1" s="1"/>
  <c r="F31" i="3"/>
  <c r="Y30" i="3" s="1"/>
  <c r="Y26" i="3"/>
  <c r="E31" i="3"/>
  <c r="X30" i="3" s="1"/>
  <c r="E36" i="13"/>
  <c r="E42" i="10"/>
  <c r="K28" i="10"/>
  <c r="E44" i="10" l="1"/>
  <c r="E37" i="10"/>
  <c r="AF26" i="3"/>
  <c r="P35" i="13"/>
  <c r="AB35" i="13"/>
  <c r="AN35" i="13"/>
  <c r="V35" i="13"/>
  <c r="J35" i="13"/>
  <c r="AH35" i="13"/>
  <c r="E37" i="13"/>
  <c r="D40" i="13" l="1"/>
  <c r="E40" i="13" s="1"/>
  <c r="C18" i="1" s="1"/>
  <c r="C19" i="1" s="1"/>
  <c r="C10" i="1"/>
  <c r="C21" i="1" l="1"/>
  <c r="C22" i="1" s="1"/>
  <c r="S25" i="9"/>
  <c r="BM7" i="2"/>
  <c r="BO27" i="2" s="1"/>
  <c r="BR52" i="2"/>
  <c r="AS22" i="3"/>
  <c r="AG34" i="10"/>
  <c r="AE41" i="10" l="1"/>
  <c r="AG41" i="10" s="1"/>
  <c r="BN15" i="2"/>
  <c r="BM9" i="2"/>
  <c r="BR48" i="2"/>
  <c r="BR50" i="2"/>
  <c r="BO28" i="2"/>
  <c r="BO25" i="2"/>
  <c r="BO26" i="2"/>
  <c r="BN19" i="2"/>
  <c r="W4" i="8"/>
  <c r="W13" i="8" s="1"/>
  <c r="O6" i="1" s="1"/>
  <c r="BR47" i="2"/>
  <c r="BO24" i="2"/>
  <c r="BR49" i="2"/>
  <c r="BR51" i="2"/>
  <c r="BN17" i="2"/>
  <c r="BN16" i="2"/>
  <c r="BN18" i="2"/>
  <c r="AU26" i="3" l="1"/>
  <c r="AF30" i="3"/>
  <c r="BO29" i="2"/>
  <c r="AU25" i="3"/>
  <c r="BN20" i="2"/>
  <c r="BR53" i="2"/>
  <c r="O8" i="9" l="1"/>
  <c r="R4" i="5" l="1"/>
  <c r="AL22" i="3"/>
  <c r="AL26" i="3" s="1"/>
  <c r="AN26" i="3" s="1"/>
  <c r="Z25" i="3"/>
  <c r="AA25" i="3" s="1"/>
  <c r="O24" i="9"/>
  <c r="AY7" i="2"/>
  <c r="BD19" i="2" s="1"/>
  <c r="O16" i="9"/>
  <c r="U34" i="13" s="1"/>
  <c r="W34" i="13" s="1"/>
  <c r="O26" i="9"/>
  <c r="O27" i="9" s="1"/>
  <c r="O10" i="9"/>
  <c r="O12" i="9" s="1"/>
  <c r="O19" i="9" s="1"/>
  <c r="R7" i="8" s="1"/>
  <c r="R22" i="8" s="1"/>
  <c r="S22" i="8" s="1"/>
  <c r="R5" i="5" l="1"/>
  <c r="S5" i="5" s="1"/>
  <c r="S10" i="5" s="1"/>
  <c r="S9" i="5"/>
  <c r="X34" i="10"/>
  <c r="Z34" i="10" s="1"/>
  <c r="S4" i="5"/>
  <c r="S8" i="5" s="1"/>
  <c r="BD26" i="2"/>
  <c r="R4" i="8"/>
  <c r="R13" i="8" s="1"/>
  <c r="L6" i="1" s="1"/>
  <c r="R16" i="5"/>
  <c r="S16" i="5" s="1"/>
  <c r="BD17" i="2"/>
  <c r="BD25" i="2"/>
  <c r="BD28" i="2"/>
  <c r="BD18" i="2"/>
  <c r="BD27" i="2"/>
  <c r="BD24" i="2"/>
  <c r="BD16" i="2"/>
  <c r="BD15" i="2"/>
  <c r="AY9" i="2"/>
  <c r="AL28" i="3"/>
  <c r="AN28" i="3" s="1"/>
  <c r="Z27" i="3"/>
  <c r="AA27" i="3" s="1"/>
  <c r="L17" i="1"/>
  <c r="O13" i="9"/>
  <c r="BD57" i="2"/>
  <c r="AY97" i="2"/>
  <c r="X22" i="6" s="1"/>
  <c r="Z22" i="6" s="1"/>
  <c r="Z29" i="3"/>
  <c r="AA29" i="3" s="1"/>
  <c r="AL30" i="3"/>
  <c r="AN30" i="3" s="1"/>
  <c r="S11" i="5" l="1"/>
  <c r="X41" i="10"/>
  <c r="Z41" i="10" s="1"/>
  <c r="BD20" i="2"/>
  <c r="BD29" i="2"/>
  <c r="BD47" i="2"/>
  <c r="BD49" i="2"/>
  <c r="BD51" i="2"/>
  <c r="BD166" i="2"/>
  <c r="BD168" i="2"/>
  <c r="BD170" i="2"/>
  <c r="BD48" i="2"/>
  <c r="BD50" i="2"/>
  <c r="BD52" i="2"/>
  <c r="BD167" i="2"/>
  <c r="BD169" i="2"/>
  <c r="BD171" i="2"/>
  <c r="BD53" i="2" l="1"/>
  <c r="BD172" i="2"/>
  <c r="X47" i="8" l="1"/>
  <c r="K35" i="13" l="1"/>
  <c r="I14" i="5"/>
  <c r="N14" i="5"/>
  <c r="I29" i="5"/>
  <c r="N29" i="5"/>
  <c r="I15" i="5"/>
  <c r="N15" i="5"/>
  <c r="I30" i="5"/>
  <c r="N30" i="5"/>
  <c r="I11" i="5"/>
  <c r="N11" i="5"/>
  <c r="I26" i="5"/>
  <c r="N26" i="5"/>
  <c r="I12" i="5"/>
  <c r="N12" i="5"/>
  <c r="I27" i="5"/>
  <c r="N27" i="5"/>
  <c r="I13" i="5"/>
  <c r="N13" i="5"/>
  <c r="I28" i="5"/>
  <c r="N28" i="5"/>
  <c r="I31" i="5"/>
  <c r="Z37" i="10"/>
  <c r="AG37" i="10"/>
  <c r="Z44" i="10"/>
  <c r="L14" i="1" s="1"/>
  <c r="L19" i="1" s="1"/>
  <c r="AG44" i="10"/>
  <c r="O14" i="1" s="1"/>
  <c r="O19" i="1" s="1"/>
  <c r="Z57" i="10"/>
  <c r="AG57" i="10"/>
  <c r="Z64" i="10"/>
  <c r="L39" i="1" s="1"/>
  <c r="L44" i="1" s="1"/>
  <c r="AG64" i="10"/>
  <c r="O39" i="1" s="1"/>
  <c r="O44" i="1" s="1"/>
  <c r="AA30" i="3"/>
  <c r="AA44" i="3"/>
  <c r="AH44" i="3"/>
  <c r="Z24" i="6"/>
  <c r="Z26" i="6" s="1"/>
  <c r="L15" i="1" s="1"/>
  <c r="Z56" i="6"/>
  <c r="Z58" i="6"/>
  <c r="L40" i="1" s="1"/>
  <c r="X67" i="3"/>
  <c r="Z67" i="3"/>
  <c r="W37" i="13"/>
  <c r="AC37" i="13"/>
  <c r="AI37" i="13"/>
  <c r="AO37" i="13"/>
  <c r="I9" i="5"/>
  <c r="N9" i="5"/>
  <c r="H4" i="5"/>
  <c r="I4" i="5"/>
  <c r="M4" i="5"/>
  <c r="N4" i="5"/>
  <c r="H5" i="5"/>
  <c r="I5" i="5"/>
  <c r="M5" i="5"/>
  <c r="N5" i="5"/>
  <c r="I8" i="5"/>
  <c r="N8" i="5"/>
  <c r="R15" i="5"/>
  <c r="S15" i="5"/>
  <c r="T15" i="5"/>
  <c r="W15" i="5"/>
  <c r="X15" i="5"/>
  <c r="Y15" i="5"/>
  <c r="I16" i="5"/>
  <c r="N16" i="5"/>
  <c r="I17" i="5"/>
  <c r="N17" i="5"/>
  <c r="S19" i="5"/>
  <c r="X19" i="5"/>
  <c r="M20" i="5"/>
  <c r="N20" i="5"/>
  <c r="O20" i="5"/>
  <c r="S20" i="5"/>
  <c r="X20" i="5"/>
  <c r="H21" i="5"/>
  <c r="I21" i="5"/>
  <c r="M21" i="5"/>
  <c r="N21" i="5"/>
  <c r="R23" i="5"/>
  <c r="W23" i="5"/>
  <c r="N24" i="5"/>
  <c r="N31" i="5"/>
  <c r="H34" i="5"/>
  <c r="M34" i="5"/>
  <c r="R53" i="5"/>
  <c r="S53" i="5"/>
  <c r="T53" i="5"/>
  <c r="W53" i="5"/>
  <c r="X53" i="5"/>
  <c r="Y53" i="5"/>
  <c r="S57" i="5"/>
  <c r="X57" i="5"/>
  <c r="S64" i="5"/>
  <c r="X64" i="5"/>
  <c r="R67" i="5"/>
  <c r="W67" i="5"/>
  <c r="I5" i="1"/>
  <c r="L5" i="1"/>
  <c r="O5" i="1"/>
  <c r="F6" i="1"/>
  <c r="I6" i="1"/>
  <c r="F7" i="1"/>
  <c r="I7" i="1"/>
  <c r="L7" i="1"/>
  <c r="O7" i="1"/>
  <c r="F8" i="1"/>
  <c r="I8" i="1"/>
  <c r="L8" i="1"/>
  <c r="O8" i="1"/>
  <c r="F10" i="1"/>
  <c r="I10" i="1"/>
  <c r="L10" i="1"/>
  <c r="O10" i="1"/>
  <c r="F14" i="1"/>
  <c r="I14" i="1"/>
  <c r="F15" i="1"/>
  <c r="I15" i="1"/>
  <c r="O15" i="1"/>
  <c r="F16" i="1"/>
  <c r="I16" i="1"/>
  <c r="L16" i="1"/>
  <c r="O16" i="1"/>
  <c r="F17" i="1"/>
  <c r="I17" i="1"/>
  <c r="F18" i="1"/>
  <c r="I18" i="1"/>
  <c r="L18" i="1"/>
  <c r="O18" i="1"/>
  <c r="F19" i="1"/>
  <c r="I19" i="1"/>
  <c r="F21" i="1"/>
  <c r="I21" i="1"/>
  <c r="L21" i="1"/>
  <c r="O21" i="1"/>
  <c r="F22" i="1"/>
  <c r="I22" i="1"/>
  <c r="L22" i="1"/>
  <c r="O22" i="1"/>
  <c r="L30" i="1"/>
  <c r="O30" i="1"/>
  <c r="L32" i="1"/>
  <c r="O32" i="1"/>
  <c r="L33" i="1"/>
  <c r="O33" i="1"/>
  <c r="L35" i="1"/>
  <c r="O35" i="1"/>
  <c r="O40" i="1"/>
  <c r="L41" i="1"/>
  <c r="O41" i="1"/>
  <c r="L43" i="1"/>
  <c r="O43" i="1"/>
  <c r="L46" i="1"/>
  <c r="O46" i="1"/>
  <c r="L47" i="1"/>
  <c r="O47" i="1"/>
  <c r="I17" i="12"/>
  <c r="K17" i="12"/>
  <c r="N17" i="12"/>
  <c r="P17" i="12"/>
  <c r="S17" i="12"/>
  <c r="U17" i="12"/>
  <c r="X17" i="12"/>
  <c r="Z17" i="12"/>
  <c r="AC17" i="12"/>
  <c r="AE17" i="12"/>
  <c r="AH17" i="12"/>
  <c r="AJ17" i="12"/>
  <c r="I18" i="12"/>
  <c r="K18" i="12"/>
  <c r="N18" i="12"/>
  <c r="P18" i="12"/>
  <c r="S18" i="12"/>
  <c r="U18" i="12"/>
  <c r="X18" i="12"/>
  <c r="Z18" i="12"/>
  <c r="AC18" i="12"/>
  <c r="AE18" i="12"/>
  <c r="AH18" i="12"/>
  <c r="AJ18" i="12"/>
  <c r="I19" i="12"/>
  <c r="K19" i="12"/>
  <c r="N19" i="12"/>
  <c r="P19" i="12"/>
  <c r="S19" i="12"/>
  <c r="U19" i="12"/>
  <c r="X19" i="12"/>
  <c r="Z19" i="12"/>
  <c r="AC19" i="12"/>
  <c r="AE19" i="12"/>
  <c r="AH19" i="12"/>
  <c r="AJ19" i="12"/>
  <c r="I20" i="12"/>
  <c r="K20" i="12"/>
  <c r="N20" i="12"/>
  <c r="P20" i="12"/>
  <c r="S20" i="12"/>
  <c r="U20" i="12"/>
  <c r="X20" i="12"/>
  <c r="Z20" i="12"/>
  <c r="AC20" i="12"/>
  <c r="AE20" i="12"/>
  <c r="AH20" i="12"/>
  <c r="AJ20" i="12"/>
  <c r="K21" i="12"/>
  <c r="P21" i="12"/>
  <c r="U21" i="12"/>
  <c r="Z21" i="12"/>
  <c r="AE21" i="12"/>
  <c r="AJ21" i="12"/>
  <c r="G8" i="9"/>
  <c r="K8" i="9"/>
  <c r="G10" i="9"/>
  <c r="K10" i="9"/>
  <c r="G12" i="9"/>
  <c r="K12" i="9"/>
  <c r="G13" i="9"/>
  <c r="K13" i="9"/>
  <c r="G16" i="9"/>
  <c r="K16" i="9"/>
  <c r="K17" i="9"/>
  <c r="O17" i="9"/>
  <c r="S17" i="9"/>
  <c r="T17" i="9"/>
  <c r="G18" i="9"/>
  <c r="K18" i="9"/>
  <c r="O18" i="9"/>
  <c r="S18" i="9"/>
  <c r="T18" i="9"/>
  <c r="G19" i="9"/>
  <c r="K19" i="9"/>
  <c r="G24" i="9"/>
  <c r="K25" i="9"/>
  <c r="G26" i="9"/>
  <c r="G27" i="9"/>
  <c r="K27" i="9"/>
  <c r="S27" i="9"/>
  <c r="K28" i="9"/>
  <c r="S28" i="9"/>
  <c r="T42" i="9"/>
  <c r="T43" i="9"/>
  <c r="O44" i="9"/>
  <c r="S44" i="9"/>
  <c r="O45" i="9"/>
  <c r="S45" i="9"/>
  <c r="S54" i="9"/>
  <c r="S55" i="9"/>
  <c r="H4" i="8"/>
  <c r="M4" i="8"/>
  <c r="H5" i="8"/>
  <c r="M5" i="8"/>
  <c r="R5" i="8"/>
  <c r="W5" i="8"/>
  <c r="M6" i="8"/>
  <c r="R6" i="8"/>
  <c r="W6" i="8"/>
  <c r="H7" i="8"/>
  <c r="M7" i="8"/>
  <c r="H13" i="8"/>
  <c r="M13" i="8"/>
  <c r="M14" i="8"/>
  <c r="R14" i="8"/>
  <c r="W14" i="8"/>
  <c r="H15" i="8"/>
  <c r="M15" i="8"/>
  <c r="R15" i="8"/>
  <c r="W15" i="8"/>
  <c r="J19" i="8"/>
  <c r="O19" i="8"/>
  <c r="T19" i="8"/>
  <c r="Y19" i="8"/>
  <c r="H22" i="8"/>
  <c r="I22" i="8"/>
  <c r="M22" i="8"/>
  <c r="N22" i="8"/>
  <c r="R33" i="8"/>
  <c r="W33" i="8"/>
  <c r="R34" i="8"/>
  <c r="W34" i="8"/>
  <c r="R42" i="8"/>
  <c r="W42" i="8"/>
  <c r="R43" i="8"/>
  <c r="W43" i="8"/>
  <c r="T47" i="8"/>
  <c r="Y47" i="8"/>
  <c r="L22" i="6"/>
  <c r="N22" i="6"/>
  <c r="R22" i="6"/>
  <c r="T22" i="6"/>
  <c r="AD22" i="6"/>
  <c r="AF22" i="6"/>
  <c r="L23" i="6"/>
  <c r="N23" i="6"/>
  <c r="R23" i="6"/>
  <c r="T23" i="6"/>
  <c r="X23" i="6"/>
  <c r="Z23" i="6"/>
  <c r="AD23" i="6"/>
  <c r="AF23" i="6"/>
  <c r="N24" i="6"/>
  <c r="T24" i="6"/>
  <c r="AF24" i="6"/>
  <c r="N26" i="6"/>
  <c r="T26" i="6"/>
  <c r="AF26" i="6"/>
  <c r="AD54" i="6"/>
  <c r="AF54" i="6"/>
  <c r="X55" i="6"/>
  <c r="Z55" i="6"/>
  <c r="AD55" i="6"/>
  <c r="AF55" i="6"/>
  <c r="AF56" i="6"/>
  <c r="AF58" i="6"/>
  <c r="W6" i="2"/>
  <c r="AK6" i="2"/>
  <c r="W7" i="2"/>
  <c r="AK7" i="2"/>
  <c r="AY8" i="2"/>
  <c r="BM8" i="2"/>
  <c r="W9" i="2"/>
  <c r="AK9" i="2"/>
  <c r="AY10" i="2"/>
  <c r="BM10" i="2"/>
  <c r="W11" i="2"/>
  <c r="AK11" i="2"/>
  <c r="X15" i="2"/>
  <c r="X16" i="2"/>
  <c r="X17" i="2"/>
  <c r="X18" i="2"/>
  <c r="X19" i="2"/>
  <c r="X20" i="2"/>
  <c r="Y24" i="2"/>
  <c r="AP24" i="2"/>
  <c r="Y25" i="2"/>
  <c r="AP25" i="2"/>
  <c r="Y26" i="2"/>
  <c r="AP26" i="2"/>
  <c r="Y27" i="2"/>
  <c r="AP27" i="2"/>
  <c r="Y28" i="2"/>
  <c r="AP28" i="2"/>
  <c r="Y29" i="2"/>
  <c r="AP29" i="2"/>
  <c r="AB33" i="2"/>
  <c r="AP33" i="2"/>
  <c r="BD33" i="2"/>
  <c r="BR33" i="2"/>
  <c r="AB38" i="2"/>
  <c r="AP38" i="2"/>
  <c r="BD38" i="2"/>
  <c r="BR38" i="2"/>
  <c r="AB39" i="2"/>
  <c r="AP39" i="2"/>
  <c r="BD39" i="2"/>
  <c r="BR39" i="2"/>
  <c r="AB40" i="2"/>
  <c r="AP40" i="2"/>
  <c r="BD40" i="2"/>
  <c r="BR40" i="2"/>
  <c r="AB41" i="2"/>
  <c r="AP41" i="2"/>
  <c r="BD41" i="2"/>
  <c r="BR41" i="2"/>
  <c r="AB42" i="2"/>
  <c r="AP42" i="2"/>
  <c r="BD42" i="2"/>
  <c r="BR42" i="2"/>
  <c r="AB43" i="2"/>
  <c r="AP43" i="2"/>
  <c r="BD43" i="2"/>
  <c r="BR43" i="2"/>
  <c r="AB47" i="2"/>
  <c r="AP47" i="2"/>
  <c r="AB48" i="2"/>
  <c r="AP48" i="2"/>
  <c r="AB49" i="2"/>
  <c r="AP49" i="2"/>
  <c r="AB50" i="2"/>
  <c r="AP50" i="2"/>
  <c r="AB51" i="2"/>
  <c r="AP51" i="2"/>
  <c r="AB52" i="2"/>
  <c r="AP52" i="2"/>
  <c r="AB53" i="2"/>
  <c r="AP53" i="2"/>
  <c r="AB57" i="2"/>
  <c r="AP57" i="2"/>
  <c r="BR57" i="2"/>
  <c r="AB62" i="2"/>
  <c r="AP62" i="2"/>
  <c r="BD62" i="2"/>
  <c r="BR62" i="2"/>
  <c r="W97" i="2"/>
  <c r="AK97" i="2"/>
  <c r="BM97" i="2"/>
  <c r="W98" i="2"/>
  <c r="AK98" i="2"/>
  <c r="AY98" i="2"/>
  <c r="BM98" i="2"/>
  <c r="Y107" i="2"/>
  <c r="AM107" i="2"/>
  <c r="BA107" i="2"/>
  <c r="BO107" i="2"/>
  <c r="Y109" i="2"/>
  <c r="AA109" i="2"/>
  <c r="AM109" i="2"/>
  <c r="AO109" i="2"/>
  <c r="BA109" i="2"/>
  <c r="BC109" i="2"/>
  <c r="BO109" i="2"/>
  <c r="BQ109" i="2"/>
  <c r="AY127" i="2"/>
  <c r="BM127" i="2"/>
  <c r="AY129" i="2"/>
  <c r="BM129" i="2"/>
  <c r="BD152" i="2"/>
  <c r="BR152" i="2"/>
  <c r="BD157" i="2"/>
  <c r="BR157" i="2"/>
  <c r="BD158" i="2"/>
  <c r="BR158" i="2"/>
  <c r="BD159" i="2"/>
  <c r="BR159" i="2"/>
  <c r="BD160" i="2"/>
  <c r="BR160" i="2"/>
  <c r="BD161" i="2"/>
  <c r="BR161" i="2"/>
  <c r="BD162" i="2"/>
  <c r="BR162" i="2"/>
  <c r="BR176" i="2"/>
  <c r="BD181" i="2"/>
  <c r="BR181" i="2"/>
  <c r="BM216" i="2"/>
  <c r="AY217" i="2"/>
  <c r="BM217" i="2"/>
  <c r="BA226" i="2"/>
  <c r="BO226" i="2"/>
  <c r="BA228" i="2"/>
  <c r="BC228" i="2"/>
  <c r="BO228" i="2"/>
  <c r="BQ228" i="2"/>
  <c r="J20" i="3"/>
  <c r="Q20" i="3"/>
  <c r="J25" i="3"/>
  <c r="L25" i="3"/>
  <c r="Q25" i="3"/>
  <c r="S25" i="3"/>
  <c r="J26" i="3"/>
  <c r="L26" i="3"/>
  <c r="M26" i="3"/>
  <c r="Q26" i="3"/>
  <c r="S26" i="3"/>
  <c r="T26" i="3"/>
  <c r="Z26" i="3"/>
  <c r="AA26" i="3"/>
  <c r="AG26" i="3"/>
  <c r="AH26" i="3"/>
  <c r="J27" i="3"/>
  <c r="M27" i="3"/>
  <c r="Q27" i="3"/>
  <c r="T27" i="3"/>
  <c r="AL27" i="3"/>
  <c r="AN27" i="3"/>
  <c r="AS27" i="3"/>
  <c r="AU27" i="3"/>
  <c r="J28" i="3"/>
  <c r="L28" i="3"/>
  <c r="M28" i="3"/>
  <c r="Q28" i="3"/>
  <c r="S28" i="3"/>
  <c r="T28" i="3"/>
  <c r="Z28" i="3"/>
  <c r="AA28" i="3"/>
  <c r="AG28" i="3"/>
  <c r="AH28" i="3"/>
  <c r="J29" i="3"/>
  <c r="M29" i="3"/>
  <c r="Q29" i="3"/>
  <c r="T29" i="3"/>
  <c r="AG29" i="3"/>
  <c r="AH29" i="3"/>
  <c r="AL29" i="3"/>
  <c r="AN29" i="3"/>
  <c r="AS29" i="3"/>
  <c r="AU29" i="3"/>
  <c r="J30" i="3"/>
  <c r="L30" i="3"/>
  <c r="M30" i="3"/>
  <c r="Q30" i="3"/>
  <c r="S30" i="3"/>
  <c r="T30" i="3"/>
  <c r="Z30" i="3"/>
  <c r="AG30" i="3"/>
  <c r="AH30" i="3"/>
  <c r="AS30" i="3"/>
  <c r="AU30" i="3"/>
  <c r="J31" i="3"/>
  <c r="L31" i="3"/>
  <c r="M31" i="3"/>
  <c r="Q31" i="3"/>
  <c r="S31" i="3"/>
  <c r="T31" i="3"/>
  <c r="AL31" i="3"/>
  <c r="AN31" i="3"/>
  <c r="AS31" i="3"/>
  <c r="AU31" i="3"/>
  <c r="J36" i="3"/>
  <c r="L36" i="3"/>
  <c r="Q36" i="3"/>
  <c r="S36" i="3"/>
  <c r="J37" i="3"/>
  <c r="L37" i="3"/>
  <c r="M37" i="3"/>
  <c r="Q37" i="3"/>
  <c r="S37" i="3"/>
  <c r="T37" i="3"/>
  <c r="J38" i="3"/>
  <c r="L38" i="3"/>
  <c r="M38" i="3"/>
  <c r="Q38" i="3"/>
  <c r="S38" i="3"/>
  <c r="T38" i="3"/>
  <c r="J39" i="3"/>
  <c r="M39" i="3"/>
  <c r="Q39" i="3"/>
  <c r="T39" i="3"/>
  <c r="Z39" i="3"/>
  <c r="AA39" i="3"/>
  <c r="AG39" i="3"/>
  <c r="AH39" i="3"/>
  <c r="J40" i="3"/>
  <c r="L40" i="3"/>
  <c r="M40" i="3"/>
  <c r="Q40" i="3"/>
  <c r="S40" i="3"/>
  <c r="T40" i="3"/>
  <c r="J41" i="3"/>
  <c r="M41" i="3"/>
  <c r="Q41" i="3"/>
  <c r="T41" i="3"/>
  <c r="Z41" i="3"/>
  <c r="AA41" i="3"/>
  <c r="AG41" i="3"/>
  <c r="AH41" i="3"/>
  <c r="J42" i="3"/>
  <c r="L42" i="3"/>
  <c r="M42" i="3"/>
  <c r="Q42" i="3"/>
  <c r="S42" i="3"/>
  <c r="T42" i="3"/>
  <c r="J43" i="3"/>
  <c r="L43" i="3"/>
  <c r="M43" i="3"/>
  <c r="Q43" i="3"/>
  <c r="S43" i="3"/>
  <c r="T43" i="3"/>
  <c r="AG43" i="3"/>
  <c r="AH43" i="3"/>
  <c r="Z44" i="3"/>
  <c r="AG44" i="3"/>
  <c r="AE62" i="3"/>
  <c r="AG62" i="3"/>
  <c r="X63" i="3"/>
  <c r="Z63" i="3"/>
  <c r="AE63" i="3"/>
  <c r="AG63" i="3"/>
  <c r="X65" i="3"/>
  <c r="Z65" i="3"/>
  <c r="AE65" i="3"/>
  <c r="AG65" i="3"/>
  <c r="AE67" i="3"/>
  <c r="AG67" i="3"/>
  <c r="J34" i="10"/>
  <c r="L34" i="10"/>
  <c r="Q34" i="10"/>
  <c r="S34" i="10"/>
  <c r="J35" i="10"/>
  <c r="L35" i="10"/>
  <c r="Q35" i="10"/>
  <c r="S35" i="10"/>
  <c r="X35" i="10"/>
  <c r="Z35" i="10"/>
  <c r="AE35" i="10"/>
  <c r="AG35" i="10"/>
  <c r="J36" i="10"/>
  <c r="L36" i="10"/>
  <c r="Q36" i="10"/>
  <c r="S36" i="10"/>
  <c r="X36" i="10"/>
  <c r="Z36" i="10"/>
  <c r="AE36" i="10"/>
  <c r="AG36" i="10"/>
  <c r="L37" i="10"/>
  <c r="S37" i="10"/>
  <c r="J41" i="10"/>
  <c r="L41" i="10"/>
  <c r="Q41" i="10"/>
  <c r="S41" i="10"/>
  <c r="J42" i="10"/>
  <c r="L42" i="10"/>
  <c r="Q42" i="10"/>
  <c r="S42" i="10"/>
  <c r="X42" i="10"/>
  <c r="Z42" i="10"/>
  <c r="AE42" i="10"/>
  <c r="AG42" i="10"/>
  <c r="J43" i="10"/>
  <c r="L43" i="10"/>
  <c r="Q43" i="10"/>
  <c r="S43" i="10"/>
  <c r="X43" i="10"/>
  <c r="Z43" i="10"/>
  <c r="AE43" i="10"/>
  <c r="AG43" i="10"/>
  <c r="L44" i="10"/>
  <c r="S44" i="10"/>
  <c r="X55" i="10"/>
  <c r="Z55" i="10"/>
  <c r="AE55" i="10"/>
  <c r="AG55" i="10"/>
  <c r="X56" i="10"/>
  <c r="Z56" i="10"/>
  <c r="AE56" i="10"/>
  <c r="AG56" i="10"/>
  <c r="X62" i="10"/>
  <c r="Z62" i="10"/>
  <c r="AE62" i="10"/>
  <c r="AG62" i="10"/>
  <c r="X63" i="10"/>
  <c r="Z63" i="10"/>
  <c r="AE63" i="10"/>
  <c r="AG63" i="10"/>
  <c r="I34" i="13"/>
  <c r="K34" i="13"/>
  <c r="O34" i="13"/>
  <c r="Q34" i="13"/>
  <c r="O35" i="13"/>
  <c r="Q35" i="13"/>
  <c r="U35" i="13"/>
  <c r="W35" i="13"/>
  <c r="AA35" i="13"/>
  <c r="AC35" i="13"/>
  <c r="AG35" i="13"/>
  <c r="AI35" i="13"/>
  <c r="AM35" i="13"/>
  <c r="AO35" i="13"/>
  <c r="I36" i="13"/>
  <c r="K36" i="13"/>
  <c r="O36" i="13"/>
  <c r="Q36" i="13"/>
  <c r="U36" i="13"/>
  <c r="W36" i="13"/>
  <c r="AA36" i="13"/>
  <c r="AC36" i="13"/>
  <c r="AG36" i="13"/>
  <c r="AI36" i="13"/>
  <c r="AM36" i="13"/>
  <c r="AO36" i="13"/>
  <c r="I37" i="13"/>
  <c r="K37" i="13"/>
  <c r="O37" i="13"/>
  <c r="Q37" i="13"/>
  <c r="U37" i="13"/>
  <c r="AA37" i="13"/>
  <c r="AG37" i="13"/>
  <c r="AM37" i="13"/>
  <c r="J40" i="13"/>
  <c r="K40" i="13"/>
  <c r="P40" i="13"/>
  <c r="Q40" i="13"/>
  <c r="V40" i="13"/>
  <c r="W40" i="13"/>
  <c r="AB40" i="13"/>
  <c r="AC40" i="13"/>
  <c r="AH40" i="13"/>
  <c r="AI40" i="13"/>
  <c r="AN40" i="13"/>
  <c r="AO40" i="13"/>
</calcChain>
</file>

<file path=xl/comments1.xml><?xml version="1.0" encoding="utf-8"?>
<comments xmlns="http://schemas.openxmlformats.org/spreadsheetml/2006/main">
  <authors>
    <author>Juho-Heikki a Kauppinen</author>
    <author>Asus</author>
  </authors>
  <commentList>
    <comment ref="A1" authorId="0" shapeId="0">
      <text>
        <r>
          <rPr>
            <sz val="12"/>
            <color indexed="81"/>
            <rFont val="Tahoma"/>
            <family val="2"/>
          </rPr>
          <t xml:space="preserve">Aloita menemällä vasemassa yläreunassa olevaan </t>
        </r>
        <r>
          <rPr>
            <b/>
            <sz val="12"/>
            <color indexed="81"/>
            <rFont val="Tahoma"/>
            <family val="2"/>
          </rPr>
          <t>TIEDOSTO</t>
        </r>
        <r>
          <rPr>
            <sz val="12"/>
            <color indexed="81"/>
            <rFont val="Tahoma"/>
            <family val="2"/>
          </rPr>
          <t xml:space="preserve"> kohtaan, jonka jälkeen valitse</t>
        </r>
        <r>
          <rPr>
            <b/>
            <sz val="12"/>
            <color indexed="81"/>
            <rFont val="Tahoma"/>
            <family val="2"/>
          </rPr>
          <t xml:space="preserve"> ASETUKSET</t>
        </r>
        <r>
          <rPr>
            <sz val="12"/>
            <color indexed="81"/>
            <rFont val="Tahoma"/>
            <family val="2"/>
          </rPr>
          <t>. Asetuksissa mene</t>
        </r>
        <r>
          <rPr>
            <b/>
            <sz val="12"/>
            <color indexed="81"/>
            <rFont val="Tahoma"/>
            <family val="2"/>
          </rPr>
          <t xml:space="preserve"> KAAVAT</t>
        </r>
        <r>
          <rPr>
            <sz val="12"/>
            <color indexed="81"/>
            <rFont val="Tahoma"/>
            <family val="2"/>
          </rPr>
          <t xml:space="preserve"> välilehteen, jossa laita rasti "</t>
        </r>
        <r>
          <rPr>
            <b/>
            <sz val="12"/>
            <color indexed="81"/>
            <rFont val="Tahoma"/>
            <family val="2"/>
          </rPr>
          <t>Salli iteratiivinen laskenta</t>
        </r>
        <r>
          <rPr>
            <sz val="12"/>
            <color indexed="81"/>
            <rFont val="Tahoma"/>
            <family val="2"/>
          </rPr>
          <t>" kohtaan, mikäli se ei ole jo valmiina valittuna.
Täytä vihreällä oleviin pohjiin nykytilanteeseen tiedot.</t>
        </r>
        <r>
          <rPr>
            <b/>
            <sz val="12"/>
            <color indexed="81"/>
            <rFont val="Tahoma"/>
            <family val="2"/>
          </rPr>
          <t xml:space="preserve"> </t>
        </r>
        <r>
          <rPr>
            <sz val="12"/>
            <color indexed="81"/>
            <rFont val="Tahoma"/>
            <family val="2"/>
          </rPr>
          <t xml:space="preserve">Voit lisätä myös tässä vaiheessa jo soluun G17 kasvatukseen jäävien lihakaritsoiden määrän tai palata täyttämään kyseisen kohdan sen jälkeen, kun olet määritellyt "Ruokinta" välilehdellä rehunkulutuksen. Taulukko laskee tämän jälkeen samalla suhteella muissa vaihtoehdoissa lihakaritsoiden määrän.
Tiheän karitsoinnin vaihtoehdoissa määrittele tarvittaessa se kuinka monessa erässä kierto tapahtuu. Esimerkiksi jos on kaksi eri ryhmää jotka karitsoivat 8 kuukauden välein, mutta eri aikaan, merkitse soluun K21 numero 2.
Siirry tämän jälkeen "Ruokinta" välilehdelle.
</t>
        </r>
        <r>
          <rPr>
            <i/>
            <sz val="12"/>
            <color indexed="81"/>
            <rFont val="Tahoma"/>
            <family val="2"/>
          </rPr>
          <t>Samanlainen "Sivun ohje" löytyy jokaisesta välilehdestä A1 solusta.</t>
        </r>
      </text>
    </comment>
    <comment ref="G8" authorId="1" shapeId="0">
      <text>
        <r>
          <rPr>
            <sz val="9"/>
            <color indexed="81"/>
            <rFont val="Tahoma"/>
            <family val="2"/>
          </rPr>
          <t>Jos luku ei näy automaattisesti, poista solun kaava "Delete" napilla ja sen jälkeen kumoa muutos.
Tarkista myös että nykytilanteen ruokinta on määritelty "Ruokinta" välilehdellä. Kaksi ensimmäistä vaihtoehtoa perustuvat siihe, joten laskuri ei pysty laskemaan vaihtoehtoja, mikäli tiedot puuttuvat.</t>
        </r>
      </text>
    </comment>
    <comment ref="K8" authorId="1" shapeId="0">
      <text>
        <r>
          <rPr>
            <sz val="9"/>
            <color indexed="81"/>
            <rFont val="Tahoma"/>
            <family val="2"/>
          </rPr>
          <t>Jos luku ei näy automaattisesti, poista solun kaava "Delete" napilla ja sen jälkeen kumoa muutos.
Tarkista myös että nykytilanteen ruokinta on määritelty "Ruokinta" välilehdellä. Kaksi ensimmäistä vaihtoehtoa perustuvat siihe, joten laskuri ei pysty laskemaan vaihtoehtoja, mikäli tiedot puuttuvat.</t>
        </r>
      </text>
    </comment>
    <comment ref="F17" authorId="0" shapeId="0">
      <text>
        <r>
          <rPr>
            <sz val="9"/>
            <color indexed="81"/>
            <rFont val="Tahoma"/>
            <family val="2"/>
          </rPr>
          <t>Lisää itselle kasvatukseen jäävien lihakaritsoiden lukumäärä vuoden ajalta.</t>
        </r>
      </text>
    </comment>
    <comment ref="B18" authorId="0" shapeId="0">
      <text>
        <r>
          <rPr>
            <sz val="9"/>
            <color indexed="81"/>
            <rFont val="Tahoma"/>
            <family val="2"/>
          </rPr>
          <t>Lisää eloon myytävien lihakaritsoiden lukumäärä tarvittaessa</t>
        </r>
      </text>
    </comment>
    <comment ref="J18" authorId="0" shapeId="0">
      <text>
        <r>
          <rPr>
            <sz val="9"/>
            <color indexed="81"/>
            <rFont val="Tahoma"/>
            <family val="2"/>
          </rPr>
          <t>Lisää myytävien karitsoiden lukumäärä tarvittaessa</t>
        </r>
      </text>
    </comment>
    <comment ref="J22" authorId="1" shapeId="0">
      <text>
        <r>
          <rPr>
            <sz val="9"/>
            <color indexed="81"/>
            <rFont val="Tahoma"/>
            <family val="2"/>
          </rPr>
          <t>Tiheän karitsoinnin osalta tässä tarkoitetaan eri aikaan karitsoivien ryhmien määrää, jolla jaksotetaan työmäärää. Yleisenä ohjeena voidaan pitää 3 jaksoa/vuosi. Muuta vain tarvittaessa.</t>
        </r>
      </text>
    </comment>
    <comment ref="R22" authorId="1" shapeId="0">
      <text>
        <r>
          <rPr>
            <sz val="9"/>
            <color indexed="81"/>
            <rFont val="Tahoma"/>
            <family val="2"/>
          </rPr>
          <t xml:space="preserve">Tiheän karitsoinnin osalta tässä tarkoitetaan eri aikaan karitsoivien ryhmien määrää, jolla jaksotetaan työmäärää. Yleisenä ohjeena voidaan pitää 3 jaksoa/vuosi. Muuta vain tarvittaessa. </t>
        </r>
      </text>
    </comment>
    <comment ref="B27" authorId="0" shapeId="0">
      <text>
        <r>
          <rPr>
            <sz val="9"/>
            <color indexed="81"/>
            <rFont val="Tahoma"/>
            <family val="2"/>
          </rPr>
          <t>Keskimääräinen astutusryhmien koko. Uuhta / pässi</t>
        </r>
      </text>
    </comment>
    <comment ref="F27" authorId="0" shapeId="0">
      <text>
        <r>
          <rPr>
            <sz val="9"/>
            <color indexed="81"/>
            <rFont val="Tahoma"/>
            <family val="2"/>
          </rPr>
          <t>Keskimääräinen astutusryhmien koko. Uuhta / pässi</t>
        </r>
      </text>
    </comment>
    <comment ref="N27" authorId="0" shapeId="0">
      <text>
        <r>
          <rPr>
            <sz val="9"/>
            <color indexed="81"/>
            <rFont val="Tahoma"/>
            <family val="2"/>
          </rPr>
          <t>Keskimääräinen astutusryhmien koko. Uuhta / pässi</t>
        </r>
      </text>
    </comment>
    <comment ref="J28" authorId="0" shapeId="0">
      <text>
        <r>
          <rPr>
            <sz val="9"/>
            <color indexed="81"/>
            <rFont val="Tahoma"/>
            <family val="2"/>
          </rPr>
          <t>Keskimääräinen astutusryhmien koko. Uuhta / pässi</t>
        </r>
      </text>
    </comment>
    <comment ref="R28" authorId="0" shapeId="0">
      <text>
        <r>
          <rPr>
            <sz val="9"/>
            <color indexed="81"/>
            <rFont val="Tahoma"/>
            <family val="2"/>
          </rPr>
          <t>Keskimääräinen astutusryhmien koko. Uuhta / pässi</t>
        </r>
      </text>
    </comment>
    <comment ref="R49" authorId="1" shapeId="0">
      <text>
        <r>
          <rPr>
            <sz val="9"/>
            <color indexed="81"/>
            <rFont val="Tahoma"/>
            <family val="2"/>
          </rPr>
          <t>Tiheän karitsoinnin osalta tässä tarkoitetaan eri aikaan karitsoivien ryhmien määrää, jolla jaksotetaan työmäärää. Yleisenä ohjeena voidaan pitää 3 jaksoa/vuosi. Muuta vain tarvittaessa.</t>
        </r>
      </text>
    </comment>
    <comment ref="N54" authorId="0" shapeId="0">
      <text>
        <r>
          <rPr>
            <sz val="9"/>
            <color indexed="81"/>
            <rFont val="Tahoma"/>
            <family val="2"/>
          </rPr>
          <t>Keskimääräinen astutusryhmien koko. Uuhta / pässi</t>
        </r>
      </text>
    </comment>
    <comment ref="R55" authorId="0" shapeId="0">
      <text>
        <r>
          <rPr>
            <sz val="9"/>
            <color indexed="81"/>
            <rFont val="Tahoma"/>
            <family val="2"/>
          </rPr>
          <t>Keskimääräinen astutusryhmien koko. Uuhta / pässi</t>
        </r>
      </text>
    </comment>
  </commentList>
</comments>
</file>

<file path=xl/comments10.xml><?xml version="1.0" encoding="utf-8"?>
<comments xmlns="http://schemas.openxmlformats.org/spreadsheetml/2006/main">
  <authors>
    <author>Asus</author>
    <author>Jukka</author>
    <author>Juho-Heikki a Kauppinen</author>
  </authors>
  <commentList>
    <comment ref="A1" authorId="0" shapeId="0">
      <text>
        <r>
          <rPr>
            <sz val="12"/>
            <color indexed="81"/>
            <rFont val="Tahoma"/>
            <family val="2"/>
          </rPr>
          <t xml:space="preserve">Tällä sivulla näet lammastalouden kiinteiden kustannusten katteen nykytilassa sekä vaihtoehdoissa.
Ota huomioon että ruokintakustannuksia voi muokata vielä tässä vaiheessa vapautuvaan tilaan perustuvissa laskelmissa "Ruokinta" välilehdellä. Usein ruokintaa on on kyseisissä vaihtoehdoissa yli tarpeen ja muokkaamalla näitä voit saada tarkemmin kate laskettua. Muokattavissa olevat kohteet on merkitty vaalean oranssilla värillä. </t>
        </r>
      </text>
    </comment>
    <comment ref="P15" authorId="1" shapeId="0">
      <text>
        <r>
          <rPr>
            <b/>
            <sz val="10"/>
            <color indexed="81"/>
            <rFont val="Tahoma"/>
            <family val="2"/>
          </rPr>
          <t>Tarkista Ruokinta-välilehdellä, kuinka paljon ruokintaa on tarpeen yli vapautuvan tilan laskelmissa. Muuta tarvittaessa, jotta ruokintakustannukset ovat todellisemmat.</t>
        </r>
      </text>
    </comment>
    <comment ref="B21" authorId="2" shapeId="0">
      <text>
        <r>
          <rPr>
            <sz val="9"/>
            <color indexed="81"/>
            <rFont val="Tahoma"/>
            <family val="2"/>
          </rPr>
          <t>Kate kiinteille kustannuksille</t>
        </r>
      </text>
    </comment>
    <comment ref="E21" authorId="2" shapeId="0">
      <text>
        <r>
          <rPr>
            <sz val="9"/>
            <color indexed="81"/>
            <rFont val="Tahoma"/>
            <family val="2"/>
          </rPr>
          <t>Kate kiinteille kustannuksille</t>
        </r>
      </text>
    </comment>
    <comment ref="H21" authorId="2" shapeId="0">
      <text>
        <r>
          <rPr>
            <sz val="9"/>
            <color indexed="81"/>
            <rFont val="Tahoma"/>
            <family val="2"/>
          </rPr>
          <t>Kate kiinteille kustannuksille</t>
        </r>
      </text>
    </comment>
    <comment ref="K21" authorId="2" shapeId="0">
      <text>
        <r>
          <rPr>
            <sz val="9"/>
            <color indexed="81"/>
            <rFont val="Tahoma"/>
            <family val="2"/>
          </rPr>
          <t>Kate kiinteille kustannuksille</t>
        </r>
      </text>
    </comment>
    <comment ref="N21" authorId="2" shapeId="0">
      <text>
        <r>
          <rPr>
            <sz val="9"/>
            <color indexed="81"/>
            <rFont val="Tahoma"/>
            <family val="2"/>
          </rPr>
          <t>Kate kiinteille kustannuksille</t>
        </r>
      </text>
    </comment>
    <comment ref="K46" authorId="2" shapeId="0">
      <text>
        <r>
          <rPr>
            <sz val="9"/>
            <color indexed="81"/>
            <rFont val="Tahoma"/>
            <family val="2"/>
          </rPr>
          <t>Kate kiinteille kustannuksille</t>
        </r>
      </text>
    </comment>
    <comment ref="N46" authorId="2" shapeId="0">
      <text>
        <r>
          <rPr>
            <sz val="9"/>
            <color indexed="81"/>
            <rFont val="Tahoma"/>
            <family val="2"/>
          </rPr>
          <t>Kate kiinteille kustannuksille</t>
        </r>
      </text>
    </comment>
  </commentList>
</comments>
</file>

<file path=xl/comments2.xml><?xml version="1.0" encoding="utf-8"?>
<comments xmlns="http://schemas.openxmlformats.org/spreadsheetml/2006/main">
  <authors>
    <author>Juho-Heikki a Kauppinen</author>
    <author>Asus</author>
    <author>Jukka</author>
    <author>User name placeholder</author>
    <author>pmohanvi</author>
    <author>Yleinen</author>
    <author>pmviiha</author>
  </authors>
  <commentList>
    <comment ref="A1" authorId="0" shapeId="0">
      <text>
        <r>
          <rPr>
            <sz val="12"/>
            <color indexed="81"/>
            <rFont val="Tahoma"/>
            <family val="2"/>
          </rPr>
          <t>Täytä vihreisiin kohtiin nykytilanteen tiedot. Tarkempia ohjeita soluun tulevasta luvusta löydät solun omasta kommenttikentästä
Muista käydä täyttämässä nykytilanteen ruokinnan jälkeen "Lähtötiedot" välilehdellä vaihtoehdossa jäävien lihakaritsoiden määrä, mikäli et tehnyt sitä alussa.
Voit muokata tila vaatimuksiin perustuvien laskelmien ruokintaa tällä välilehdellä, kun olet syöttänyt nykytilanteen tiedot. Jos soluissa BC109, BQ109, BC228 ja BQ228 on huomattavasti enemmän kuin 0 %, tarkoittaa se että nykyisellä ruokinnalla rehuja on vaihtoehdoissa liika. Muutettavissa olevat solut on korostettu haalen oranssilla värillä.
Jos nykyiseen ruokintaan perustuvien vaihtoehtojen luvut eivät ilmesty automaattisesti sen jälkeen, kun olet syöttänyt nykytilanteen tiedot, palaa "Lähtötiedot" välilehdelle ja toimi solujen G8 ja K8 olevan kommentin mukaan,</t>
        </r>
      </text>
    </comment>
    <comment ref="W7" authorId="1" shapeId="0">
      <text>
        <r>
          <rPr>
            <sz val="9"/>
            <color indexed="81"/>
            <rFont val="Tahoma"/>
            <family val="2"/>
          </rPr>
          <t xml:space="preserve">Rehun tuotannosta vähennetty karitsoiden tarvitsema rehujen määrä. </t>
        </r>
      </text>
    </comment>
    <comment ref="AK7" authorId="1" shapeId="0">
      <text>
        <r>
          <rPr>
            <sz val="9"/>
            <color indexed="81"/>
            <rFont val="Tahoma"/>
            <family val="2"/>
          </rPr>
          <t xml:space="preserve">Rehun tuotannosta vähennetty karitsoiden tarvitsema rehujen määrä. </t>
        </r>
      </text>
    </comment>
    <comment ref="W8" authorId="1" shapeId="0">
      <text>
        <r>
          <rPr>
            <sz val="9"/>
            <color indexed="81"/>
            <rFont val="Tahoma"/>
            <family val="2"/>
          </rPr>
          <t>Määritelty solussa F25</t>
        </r>
      </text>
    </comment>
    <comment ref="AK8" authorId="1" shapeId="0">
      <text>
        <r>
          <rPr>
            <sz val="9"/>
            <color indexed="81"/>
            <rFont val="Tahoma"/>
            <family val="2"/>
          </rPr>
          <t>Määritelty solussa AH28</t>
        </r>
      </text>
    </comment>
    <comment ref="G12" authorId="2" shapeId="0">
      <text>
        <r>
          <rPr>
            <sz val="9"/>
            <color indexed="81"/>
            <rFont val="Tahoma"/>
            <family val="2"/>
          </rPr>
          <t>Lisää uuhien keskimääräinen elopaino 1 kg tarkkuudella.</t>
        </r>
      </text>
    </comment>
    <comment ref="N14" authorId="0" shapeId="0">
      <text>
        <r>
          <rPr>
            <sz val="9"/>
            <color indexed="81"/>
            <rFont val="Tahoma"/>
            <family val="2"/>
          </rPr>
          <t>https://portal.mtt.fi/portal/page/portal/Rehutaulukot/Ruokintasuositukset/Marehtijat/Lampaiden_energia_ja_valkuaissuositukset</t>
        </r>
      </text>
    </comment>
    <comment ref="X14" authorId="0" shapeId="0">
      <text>
        <r>
          <rPr>
            <sz val="9"/>
            <color indexed="81"/>
            <rFont val="Tahoma"/>
            <family val="2"/>
          </rPr>
          <t>Yksittäisen uuhen enrgiantarve/kierto on määritelty jo soluissa F11-F16</t>
        </r>
      </text>
    </comment>
    <comment ref="D18" authorId="0" shapeId="0">
      <text>
        <r>
          <rPr>
            <sz val="9"/>
            <color indexed="81"/>
            <rFont val="Tahoma"/>
            <family val="2"/>
          </rPr>
          <t>Kesto yleensä 2-3 viikkoa ennen astutusta ja 2 viikkoa sen jälkeen. Mikäli kiihotusruokinta on käytössä, niin lisää rasti ruutuun.</t>
        </r>
      </text>
    </comment>
    <comment ref="D27" authorId="0" shapeId="0">
      <text>
        <r>
          <rPr>
            <sz val="9"/>
            <color indexed="81"/>
            <rFont val="Tahoma"/>
            <family val="2"/>
          </rPr>
          <t>Kesto yleensä 2-3 viikkoa ennen astutusta ja 2 viikkoa sen jälkeen</t>
        </r>
      </text>
    </comment>
    <comment ref="E31" authorId="1" shapeId="0">
      <text>
        <r>
          <rPr>
            <sz val="9"/>
            <color indexed="81"/>
            <rFont val="Tahoma"/>
            <family val="2"/>
          </rPr>
          <t>Määrittele päiväkasvut eri kasvuvaiheissa kahden desimaalin tarkkuudella. Esimerkiksi 0,23 = 230 grammaa</t>
        </r>
      </text>
    </comment>
    <comment ref="F31" authorId="0" shapeId="0">
      <text>
        <r>
          <rPr>
            <sz val="9"/>
            <color indexed="81"/>
            <rFont val="Tahoma"/>
            <family val="2"/>
          </rPr>
          <t>Kasvatusaika päivinä seuraavaan painoluokkaan</t>
        </r>
      </text>
    </comment>
    <comment ref="D36" authorId="1" shapeId="0">
      <text>
        <r>
          <rPr>
            <sz val="9"/>
            <color indexed="81"/>
            <rFont val="Tahoma"/>
            <family val="2"/>
          </rPr>
          <t>Merkitse karitsoiden keskimääräinen elopaino niiden lähtiessä teuraaksi</t>
        </r>
      </text>
    </comment>
    <comment ref="F37" authorId="1" shapeId="0">
      <text>
        <r>
          <rPr>
            <sz val="9"/>
            <color indexed="81"/>
            <rFont val="Tahoma"/>
            <family val="2"/>
          </rPr>
          <t>Kasvatuksen kesto päivinä 15kg karitsasta teuraaksi.</t>
        </r>
      </text>
    </comment>
    <comment ref="N37" authorId="0" shapeId="0">
      <text>
        <r>
          <rPr>
            <sz val="9"/>
            <color indexed="81"/>
            <rFont val="Tahoma"/>
            <family val="2"/>
          </rPr>
          <t>https://portal.mtt.fi/portal/page/portal/Rehutaulukot/Ruokintasuositukset/Marehtijat/Karitsoiden_ruokintasuositukset</t>
        </r>
      </text>
    </comment>
    <comment ref="E40" authorId="1" shapeId="0">
      <text>
        <r>
          <rPr>
            <sz val="9"/>
            <color indexed="81"/>
            <rFont val="Tahoma"/>
            <family val="2"/>
          </rPr>
          <t>Määrittele päiväkasvut eri kasvuvaiheissa 0,1 kg tarkkuudella.</t>
        </r>
      </text>
    </comment>
    <comment ref="F40" authorId="1" shapeId="0">
      <text>
        <r>
          <rPr>
            <sz val="9"/>
            <color indexed="81"/>
            <rFont val="Tahoma"/>
            <family val="2"/>
          </rPr>
          <t>Kasvatusaika päivinä seuraavaan painoluokkaan</t>
        </r>
      </text>
    </comment>
    <comment ref="D45" authorId="1" shapeId="0">
      <text>
        <r>
          <rPr>
            <sz val="9"/>
            <color indexed="81"/>
            <rFont val="Tahoma"/>
            <family val="2"/>
          </rPr>
          <t>Merkitse uudistukaritsoiden keskimääräinen elopaino vuoden iässä</t>
        </r>
      </text>
    </comment>
    <comment ref="F46" authorId="2" shapeId="0">
      <text>
        <r>
          <rPr>
            <sz val="9"/>
            <color indexed="81"/>
            <rFont val="Tahoma"/>
            <family val="2"/>
          </rPr>
          <t>Mikäli tämän sarakkeen arvo on negatiivinen, on päiväkasvu arvioitua korkeampi tai paino vuoden iässä on määritelty liian korkeaksi</t>
        </r>
      </text>
    </comment>
    <comment ref="E50" authorId="1" shapeId="0">
      <text>
        <r>
          <rPr>
            <sz val="9"/>
            <color indexed="81"/>
            <rFont val="Tahoma"/>
            <family val="2"/>
          </rPr>
          <t>Määrittele päiväkasvut eri kasvuvaiheissa 0,1 kg tarkkuudella.</t>
        </r>
      </text>
    </comment>
    <comment ref="F50" authorId="0" shapeId="0">
      <text>
        <r>
          <rPr>
            <sz val="9"/>
            <color indexed="81"/>
            <rFont val="Tahoma"/>
            <family val="2"/>
          </rPr>
          <t>Kasvatusaika päivinä seuraavaan painoluokkaan</t>
        </r>
      </text>
    </comment>
    <comment ref="D53" authorId="1" shapeId="0">
      <text>
        <r>
          <rPr>
            <sz val="9"/>
            <color indexed="81"/>
            <rFont val="Tahoma"/>
            <family val="2"/>
          </rPr>
          <t>Merkitse myytävien karitsoiden keskimääräinen elopaino myytäessä. Vähimmäispainona pidetään 20 kg!</t>
        </r>
      </text>
    </comment>
    <comment ref="D57" authorId="2" shapeId="0">
      <text>
        <r>
          <rPr>
            <sz val="9"/>
            <color indexed="81"/>
            <rFont val="Tahoma"/>
            <family val="2"/>
          </rPr>
          <t>Määrittele siitospässien keskimääräinen paino 1 kg tarkkuudella</t>
        </r>
      </text>
    </comment>
    <comment ref="G57" authorId="1" shapeId="0">
      <text>
        <r>
          <rPr>
            <sz val="9"/>
            <color indexed="81"/>
            <rFont val="Tahoma"/>
            <family val="2"/>
          </rPr>
          <t>Siitospässin energiantarve/päivä huomioituna sen paino sekä siitospässin lisätarve</t>
        </r>
      </text>
    </comment>
    <comment ref="G66" authorId="3" shapeId="0">
      <text>
        <r>
          <rPr>
            <sz val="8"/>
            <color indexed="81"/>
            <rFont val="Tahoma"/>
            <family val="2"/>
          </rPr>
          <t>Pinta-ala kertaa satotaso (kg/ha)</t>
        </r>
      </text>
    </comment>
    <comment ref="L66" authorId="4" shapeId="0">
      <text>
        <r>
          <rPr>
            <sz val="8"/>
            <color indexed="81"/>
            <rFont val="Tahoma"/>
            <family val="2"/>
          </rPr>
          <t>Rehun kuiva-aine sato (kg ka/ha) kerrottuna viljelyalalla</t>
        </r>
      </text>
    </comment>
    <comment ref="D67" authorId="2" shapeId="0">
      <text>
        <r>
          <rPr>
            <sz val="9"/>
            <color indexed="81"/>
            <rFont val="Tahoma"/>
            <family val="2"/>
          </rPr>
          <t>Lisää tilalla tuotetut rehut listaan. Kirjoita rehut esim. muotoon Säilörehu (Ensimmäinen kirjain isolla ja koko nimellä).</t>
        </r>
      </text>
    </comment>
    <comment ref="E67" authorId="2" shapeId="0">
      <text>
        <r>
          <rPr>
            <sz val="9"/>
            <color indexed="81"/>
            <rFont val="Tahoma"/>
            <family val="2"/>
          </rPr>
          <t>Viljelykasvin pinta-ala</t>
        </r>
      </text>
    </comment>
    <comment ref="F67" authorId="3" shapeId="0">
      <text>
        <r>
          <rPr>
            <b/>
            <sz val="8"/>
            <color indexed="81"/>
            <rFont val="Tahoma"/>
            <family val="2"/>
          </rPr>
          <t xml:space="preserve">Merkitse sato tähän kg/ha! </t>
        </r>
        <r>
          <rPr>
            <sz val="8"/>
            <color indexed="81"/>
            <rFont val="Tahoma"/>
            <family val="2"/>
          </rPr>
          <t xml:space="preserve">
Määritä satotasot vastaamaan sadon käyttöä.</t>
        </r>
      </text>
    </comment>
    <comment ref="I67" authorId="2" shapeId="0">
      <text>
        <r>
          <rPr>
            <sz val="9"/>
            <color indexed="81"/>
            <rFont val="Tahoma"/>
            <family val="2"/>
          </rPr>
          <t xml:space="preserve">Määritä rehun kuiva-aine (g/kg). Alla suuntaa antavia arvoja, tarkemmat löydät osoitteesta:
www.mtt.fi /rehutaulukot
</t>
        </r>
        <r>
          <rPr>
            <b/>
            <sz val="9"/>
            <color indexed="81"/>
            <rFont val="Tahoma"/>
            <family val="2"/>
          </rPr>
          <t>Säilörehut         g/kg</t>
        </r>
        <r>
          <rPr>
            <sz val="9"/>
            <color indexed="81"/>
            <rFont val="Tahoma"/>
            <family val="2"/>
          </rPr>
          <t xml:space="preserve">
Nurmisäilörehu           250
Kaura-herne.virnaSr   340
KokoviljasSr               350
Laidun                           200
Rypsipuriste                910
Melassileike                 900
Olki                                850
Heinä                              860
Viljat                             860
</t>
        </r>
      </text>
    </comment>
    <comment ref="K67" authorId="4" shapeId="0">
      <text>
        <r>
          <rPr>
            <sz val="8"/>
            <color indexed="81"/>
            <rFont val="Tahoma"/>
            <family val="2"/>
          </rPr>
          <t xml:space="preserve">Sato kg/ha </t>
        </r>
        <r>
          <rPr>
            <b/>
            <sz val="8"/>
            <color indexed="81"/>
            <rFont val="Tahoma"/>
            <family val="2"/>
          </rPr>
          <t>kerrottuna</t>
        </r>
        <r>
          <rPr>
            <sz val="8"/>
            <color indexed="81"/>
            <rFont val="Tahoma"/>
            <family val="2"/>
          </rPr>
          <t xml:space="preserve"> kuiva-ainemäärällä (g/kg) </t>
        </r>
        <r>
          <rPr>
            <b/>
            <sz val="8"/>
            <color indexed="81"/>
            <rFont val="Tahoma"/>
            <family val="2"/>
          </rPr>
          <t>jaettuna</t>
        </r>
        <r>
          <rPr>
            <sz val="8"/>
            <color indexed="81"/>
            <rFont val="Tahoma"/>
            <family val="2"/>
          </rPr>
          <t xml:space="preserve"> tuhannella</t>
        </r>
      </text>
    </comment>
    <comment ref="F79" authorId="4" shapeId="0">
      <text>
        <r>
          <rPr>
            <sz val="8"/>
            <color indexed="81"/>
            <rFont val="Tahoma"/>
            <family val="2"/>
          </rPr>
          <t xml:space="preserve">Sato kg/ha </t>
        </r>
        <r>
          <rPr>
            <b/>
            <sz val="8"/>
            <color indexed="81"/>
            <rFont val="Tahoma"/>
            <family val="2"/>
          </rPr>
          <t>kerrottuna</t>
        </r>
        <r>
          <rPr>
            <sz val="8"/>
            <color indexed="81"/>
            <rFont val="Tahoma"/>
            <family val="2"/>
          </rPr>
          <t xml:space="preserve"> kuiva-ainemäärällä (g/kg) </t>
        </r>
        <r>
          <rPr>
            <b/>
            <sz val="8"/>
            <color indexed="81"/>
            <rFont val="Tahoma"/>
            <family val="2"/>
          </rPr>
          <t>jaettuna</t>
        </r>
        <r>
          <rPr>
            <sz val="8"/>
            <color indexed="81"/>
            <rFont val="Tahoma"/>
            <family val="2"/>
          </rPr>
          <t xml:space="preserve"> tuhannella</t>
        </r>
      </text>
    </comment>
    <comment ref="G79" authorId="4" shapeId="0">
      <text>
        <r>
          <rPr>
            <sz val="8"/>
            <color indexed="81"/>
            <rFont val="Tahoma"/>
            <family val="2"/>
          </rPr>
          <t>Rehun kuiva-aine sato kerrottuna viljelyalalla</t>
        </r>
      </text>
    </comment>
    <comment ref="I79" authorId="4" shapeId="0">
      <text>
        <r>
          <rPr>
            <sz val="9"/>
            <color indexed="81"/>
            <rFont val="Tahoma"/>
            <family val="2"/>
          </rPr>
          <t xml:space="preserve">Määritä rehujen muuntokelpoinen energia, ME (MJ/kg ka). Alla suuntaa antavia arvoja, tarkemmat löydät osoitteesta: 
</t>
        </r>
        <r>
          <rPr>
            <b/>
            <sz val="9"/>
            <color indexed="81"/>
            <rFont val="Tahoma"/>
            <family val="2"/>
          </rPr>
          <t>www.mtt.fi</t>
        </r>
        <r>
          <rPr>
            <sz val="9"/>
            <color indexed="81"/>
            <rFont val="Tahoma"/>
            <family val="2"/>
          </rPr>
          <t xml:space="preserve"> /rehutaulukot
</t>
        </r>
        <r>
          <rPr>
            <b/>
            <sz val="9"/>
            <color indexed="81"/>
            <rFont val="Tahoma"/>
            <family val="2"/>
          </rPr>
          <t xml:space="preserve">Säilörehut            ME
</t>
        </r>
        <r>
          <rPr>
            <sz val="9"/>
            <color indexed="81"/>
            <rFont val="Tahoma"/>
            <family val="2"/>
          </rPr>
          <t xml:space="preserve">Nurmisäilörehut          11,5 - 9,6
Kaura-herne-virnaSr      10,6
KokoviljaSr                  10,7 - 8,5
Laidun                          11,3 - 10,5
Heinä                            10,6 - 8,4
Ohra                                13,2
Kaura                               12,1
Ohra-Kauraseos             12,6
Vehnä                               13,6
Ruis                                  13,6
Olki                               6,0 - 5,3
Härkäpapu                      12,8
Rypsipuriste 
    - kylmäpuristettu       15,6
    - lämpökäsitelty         12,3             </t>
        </r>
      </text>
    </comment>
    <comment ref="K79" authorId="4" shapeId="0">
      <text>
        <r>
          <rPr>
            <sz val="8"/>
            <color indexed="81"/>
            <rFont val="Tahoma"/>
            <family val="2"/>
          </rPr>
          <t xml:space="preserve">Rehun kuiva-ainesato kg ka/ha </t>
        </r>
        <r>
          <rPr>
            <b/>
            <sz val="8"/>
            <color indexed="81"/>
            <rFont val="Tahoma"/>
            <family val="2"/>
          </rPr>
          <t>kerrottuna</t>
        </r>
        <r>
          <rPr>
            <sz val="8"/>
            <color indexed="81"/>
            <rFont val="Tahoma"/>
            <family val="2"/>
          </rPr>
          <t xml:space="preserve"> energiasisällöllä (MJ/kg ka)</t>
        </r>
      </text>
    </comment>
    <comment ref="L79" authorId="4" shapeId="0">
      <text>
        <r>
          <rPr>
            <sz val="8"/>
            <color indexed="81"/>
            <rFont val="Tahoma"/>
            <family val="2"/>
          </rPr>
          <t>MJ-sato (MJ/ha) kerrottuna viljelyalalla</t>
        </r>
      </text>
    </comment>
    <comment ref="K88" authorId="3" shapeId="0">
      <text>
        <r>
          <rPr>
            <sz val="8"/>
            <color indexed="81"/>
            <rFont val="Tahoma"/>
            <family val="2"/>
          </rPr>
          <t>Rehuntuotanto yhteensä, MJ
Vertaa rehun käyttöön (yhteensä). Tuotannon ja käytön erotuksen tulisi olla sama kuin ostorehujen määrä (MJ).</t>
        </r>
      </text>
    </comment>
    <comment ref="D90" authorId="5" shapeId="0">
      <text>
        <r>
          <rPr>
            <sz val="9"/>
            <color indexed="81"/>
            <rFont val="Tahoma"/>
            <family val="2"/>
          </rPr>
          <t>Nimeä ostorehut ja määritä niiden ME (muuntokelpoisen energian määrä)</t>
        </r>
      </text>
    </comment>
    <comment ref="F90" authorId="4" shapeId="0">
      <text>
        <r>
          <rPr>
            <sz val="8"/>
            <color indexed="81"/>
            <rFont val="Tahoma"/>
            <family val="2"/>
          </rPr>
          <t xml:space="preserve">Määritä </t>
        </r>
        <r>
          <rPr>
            <b/>
            <sz val="8"/>
            <color indexed="81"/>
            <rFont val="Tahoma"/>
            <family val="2"/>
          </rPr>
          <t xml:space="preserve">rehun kuiva-aine (g/kg)
www.mtt.fi </t>
        </r>
        <r>
          <rPr>
            <sz val="8"/>
            <color indexed="81"/>
            <rFont val="Tahoma"/>
            <family val="2"/>
          </rPr>
          <t>/rehutaulukot
Tarvittaessa rehuarvot vakuustodistuksesta tai rehun valmistajan nettisivuilta.</t>
        </r>
      </text>
    </comment>
    <comment ref="G90" authorId="4" shapeId="0">
      <text>
        <r>
          <rPr>
            <sz val="8"/>
            <color indexed="81"/>
            <rFont val="Tahoma"/>
            <family val="2"/>
          </rPr>
          <t xml:space="preserve">Määrä (kg) </t>
        </r>
        <r>
          <rPr>
            <b/>
            <sz val="8"/>
            <color indexed="81"/>
            <rFont val="Tahoma"/>
            <family val="2"/>
          </rPr>
          <t>kerrottuna</t>
        </r>
        <r>
          <rPr>
            <sz val="8"/>
            <color indexed="81"/>
            <rFont val="Tahoma"/>
            <family val="2"/>
          </rPr>
          <t xml:space="preserve"> kuiva-ainemäärällä (g/kg) </t>
        </r>
        <r>
          <rPr>
            <b/>
            <sz val="8"/>
            <color indexed="81"/>
            <rFont val="Tahoma"/>
            <family val="2"/>
          </rPr>
          <t>jaettuna</t>
        </r>
        <r>
          <rPr>
            <sz val="8"/>
            <color indexed="81"/>
            <rFont val="Tahoma"/>
            <family val="2"/>
          </rPr>
          <t xml:space="preserve"> tuhannella</t>
        </r>
      </text>
    </comment>
    <comment ref="I90" authorId="4" shapeId="0">
      <text>
        <r>
          <rPr>
            <sz val="8"/>
            <color indexed="81"/>
            <rFont val="Tahoma"/>
            <family val="2"/>
          </rPr>
          <t xml:space="preserve">Määritä </t>
        </r>
        <r>
          <rPr>
            <b/>
            <sz val="8"/>
            <color indexed="81"/>
            <rFont val="Tahoma"/>
            <family val="2"/>
          </rPr>
          <t>rehujen</t>
        </r>
        <r>
          <rPr>
            <sz val="8"/>
            <color indexed="81"/>
            <rFont val="Tahoma"/>
            <family val="2"/>
          </rPr>
          <t xml:space="preserve"> muuntokelpoinen energia, ME (MJ/kg ka)
</t>
        </r>
        <r>
          <rPr>
            <b/>
            <sz val="8"/>
            <color indexed="81"/>
            <rFont val="Tahoma"/>
            <family val="2"/>
          </rPr>
          <t>www.mtt.fi</t>
        </r>
        <r>
          <rPr>
            <sz val="8"/>
            <color indexed="81"/>
            <rFont val="Tahoma"/>
            <family val="2"/>
          </rPr>
          <t xml:space="preserve"> /rehutaulukot
Tarvittaessa rehuarvot vakuustodistuksesta tai rehun valmistajan nettisivuilta.</t>
        </r>
      </text>
    </comment>
    <comment ref="L90" authorId="3" shapeId="0">
      <text>
        <r>
          <rPr>
            <sz val="8"/>
            <color indexed="81"/>
            <rFont val="Tahoma"/>
            <family val="2"/>
          </rPr>
          <t>Kuiva-aine (kg ka) kerrottuna energiasisällöllä (MJ/kg ka)</t>
        </r>
      </text>
    </comment>
    <comment ref="K100" authorId="3" shapeId="0">
      <text>
        <r>
          <rPr>
            <b/>
            <sz val="8"/>
            <color indexed="81"/>
            <rFont val="Tahoma"/>
            <family val="2"/>
          </rPr>
          <t>Ostorehut yhteensä, MJ</t>
        </r>
      </text>
    </comment>
    <comment ref="K102" authorId="6" shapeId="0">
      <text>
        <r>
          <rPr>
            <sz val="8"/>
            <color indexed="81"/>
            <rFont val="Tahoma"/>
            <family val="2"/>
          </rPr>
          <t>Vertaa kotieläintuotannon rehun tarpeeseen yhteensä, MJ</t>
        </r>
      </text>
    </comment>
    <comment ref="AZ133" authorId="0" shapeId="0">
      <text>
        <r>
          <rPr>
            <sz val="9"/>
            <color indexed="81"/>
            <rFont val="Tahoma"/>
            <family val="2"/>
          </rPr>
          <t>Yksittäisen uuhen enrgiantarve/kierto on määritelty jo soluissa F11-F16</t>
        </r>
      </text>
    </comment>
    <comment ref="BN133" authorId="0" shapeId="0">
      <text>
        <r>
          <rPr>
            <sz val="9"/>
            <color indexed="81"/>
            <rFont val="Tahoma"/>
            <family val="2"/>
          </rPr>
          <t>Yksittäisen uuhen enrgiantarve/kierto on määritelty jo soluissa F11-F16</t>
        </r>
      </text>
    </comment>
  </commentList>
</comments>
</file>

<file path=xl/comments3.xml><?xml version="1.0" encoding="utf-8"?>
<comments xmlns="http://schemas.openxmlformats.org/spreadsheetml/2006/main">
  <authors>
    <author>Juho-Heikki a Kauppinen</author>
    <author>Asus</author>
    <author>Jukka</author>
  </authors>
  <commentList>
    <comment ref="A1" authorId="0" shapeId="0">
      <text>
        <r>
          <rPr>
            <sz val="12"/>
            <color indexed="81"/>
            <rFont val="Tahoma"/>
            <family val="2"/>
          </rPr>
          <t>Valitse oikea lampolan lattiatyyppi soluista C4, D4 tai E4. Laskuri laskee sen jälkeen automaattisesti vähimmäismäärät kyseisille eläinmäärille eri vaihtoehdoissa karitsointi aikaan ja vieroituksen jälkeen.
Soluissa X21, X34, AE21 ja AE34 etsitään lisäuuhien tai vähennettävien uuhien määrä siten että vaihtoehtojen eläinmäärä korkeimmillaan mahtuu samalle alalle kuin nykytilanteen määrässä. Tarkemmat ohjeet edellä mainittujen solujen kommenttikentissä.
Sivun täytettyä siirry seuraavalle välilehdelle "Ruokinnan kustannukset"</t>
        </r>
      </text>
    </comment>
    <comment ref="B20" authorId="1" shapeId="0">
      <text>
        <r>
          <rPr>
            <sz val="9"/>
            <color indexed="81"/>
            <rFont val="Tahoma"/>
            <family val="2"/>
          </rPr>
          <t>Nykyinen uuhimäärä</t>
        </r>
      </text>
    </comment>
    <comment ref="W21" authorId="2" shapeId="0">
      <text>
        <r>
          <rPr>
            <sz val="9"/>
            <color indexed="81"/>
            <rFont val="Tahoma"/>
            <family val="2"/>
          </rPr>
          <t>Etsi suurin mahdollinen uuhimäärä. Oikean tuloksen saat etsimällä lisäuuhien määrän siten että solun AA30 on pienempi tai yhtä suuri kuin 0.</t>
        </r>
      </text>
    </comment>
    <comment ref="AD21" authorId="2" shapeId="0">
      <text>
        <r>
          <rPr>
            <sz val="9"/>
            <color indexed="81"/>
            <rFont val="Tahoma"/>
            <family val="2"/>
          </rPr>
          <t>Etsi suurin mahdollinen uuhimäärä. Oikean tuloksen saat etsimällä lisäuuhien määrän siten että solun AH30 on pienempi tai yhtä suuri kuin 0.</t>
        </r>
      </text>
    </comment>
    <comment ref="AK22" authorId="1" shapeId="0">
      <text>
        <r>
          <rPr>
            <sz val="9"/>
            <color indexed="81"/>
            <rFont val="Tahoma"/>
            <family val="2"/>
          </rPr>
          <t>Nykyinen uuhimäärä</t>
        </r>
      </text>
    </comment>
    <comment ref="AR22" authorId="1" shapeId="0">
      <text>
        <r>
          <rPr>
            <sz val="9"/>
            <color indexed="81"/>
            <rFont val="Tahoma"/>
            <family val="2"/>
          </rPr>
          <t>Nykyinen uuhimäärä</t>
        </r>
      </text>
    </comment>
    <comment ref="AK25" authorId="0" shapeId="0">
      <text>
        <r>
          <rPr>
            <sz val="9"/>
            <color indexed="81"/>
            <rFont val="Tahoma"/>
            <family val="2"/>
          </rPr>
          <t>Jaottele tiineiden ja joutilas uuhien lukumäärä sen mukaan, jolloin tiineiden lukumäärä on suurimmillaan</t>
        </r>
      </text>
    </comment>
    <comment ref="AR25" authorId="0" shapeId="0">
      <text>
        <r>
          <rPr>
            <sz val="9"/>
            <color indexed="81"/>
            <rFont val="Tahoma"/>
            <family val="2"/>
          </rPr>
          <t>Jaottele tiineiden ja joutilas uuhien lukumäärä sen mukaan, jolloin tiineiden lukumäärä on suurimmillaan</t>
        </r>
      </text>
    </comment>
    <comment ref="D28" authorId="0" shapeId="0">
      <text>
        <r>
          <rPr>
            <sz val="9"/>
            <color indexed="81"/>
            <rFont val="Tahoma"/>
            <family val="2"/>
          </rPr>
          <t>Uudistuskaritsoille määritellään pinta-ala vaade sen mukaan mikä niiden paino on 1v iässä.</t>
        </r>
      </text>
    </comment>
    <comment ref="E31" authorId="2" shapeId="0">
      <text>
        <r>
          <rPr>
            <sz val="9"/>
            <color indexed="81"/>
            <rFont val="Tahoma"/>
            <family val="2"/>
          </rPr>
          <t>Tilavaatimus koko eläinmäärälle karitsointi aikaan kun tilan tarve on suurimmillaan.</t>
        </r>
      </text>
    </comment>
    <comment ref="F31" authorId="2" shapeId="0">
      <text>
        <r>
          <rPr>
            <sz val="9"/>
            <color indexed="81"/>
            <rFont val="Tahoma"/>
            <family val="2"/>
          </rPr>
          <t>Tilavaatimus koko eläinmäärälle vieroituksen jälkeen</t>
        </r>
      </text>
    </comment>
    <comment ref="L31" authorId="2" shapeId="0">
      <text>
        <r>
          <rPr>
            <sz val="9"/>
            <color indexed="81"/>
            <rFont val="Tahoma"/>
            <family val="2"/>
          </rPr>
          <t>Tilavaatimus koko eläinmäärälle karitsointi aikaan kun tilan tarve on suurimmillaan.</t>
        </r>
      </text>
    </comment>
    <comment ref="M31" authorId="2" shapeId="0">
      <text>
        <r>
          <rPr>
            <sz val="9"/>
            <color indexed="81"/>
            <rFont val="Tahoma"/>
            <family val="2"/>
          </rPr>
          <t>Tilavaatimus koko eläinmäärälle vieroituksen jälkeen</t>
        </r>
      </text>
    </comment>
    <comment ref="S31" authorId="2" shapeId="0">
      <text>
        <r>
          <rPr>
            <sz val="9"/>
            <color indexed="81"/>
            <rFont val="Tahoma"/>
            <family val="2"/>
          </rPr>
          <t>Tilavaatimus koko eläinmäärälle karitsointi aikaan kun tilan tarve on suurimmillaan.</t>
        </r>
      </text>
    </comment>
    <comment ref="T31" authorId="2" shapeId="0">
      <text>
        <r>
          <rPr>
            <sz val="9"/>
            <color indexed="81"/>
            <rFont val="Tahoma"/>
            <family val="2"/>
          </rPr>
          <t>Tilavaatimus koko eläinmäärälle vieroituksen jälkeen</t>
        </r>
      </text>
    </comment>
    <comment ref="AN31" authorId="2" shapeId="0">
      <text>
        <r>
          <rPr>
            <sz val="9"/>
            <color indexed="81"/>
            <rFont val="Tahoma"/>
            <family val="2"/>
          </rPr>
          <t>Tulisi olla lähes sama kuin solussa E29</t>
        </r>
      </text>
    </comment>
    <comment ref="AU31" authorId="2" shapeId="0">
      <text>
        <r>
          <rPr>
            <sz val="9"/>
            <color indexed="81"/>
            <rFont val="Tahoma"/>
            <family val="2"/>
          </rPr>
          <t>Tulisi olla lähes sama kuin solussa E29</t>
        </r>
      </text>
    </comment>
    <comment ref="W34" authorId="2" shapeId="0">
      <text>
        <r>
          <rPr>
            <sz val="9"/>
            <color indexed="81"/>
            <rFont val="Tahoma"/>
            <family val="2"/>
          </rPr>
          <t>Etsi suurin mahdollinen uuhimäärä. Oikean tuloksen saat etsimällä lisäuuhien määrän siten että solun AA44 on pienempi tai yhtä suuri kuin 0.</t>
        </r>
      </text>
    </comment>
    <comment ref="AD34" authorId="2" shapeId="0">
      <text>
        <r>
          <rPr>
            <sz val="9"/>
            <color indexed="81"/>
            <rFont val="Tahoma"/>
            <family val="2"/>
          </rPr>
          <t>Etsi suurin mahdollinen uuhimäärä. Oikean tuloksen saat etsimällä lisäuuhien määrän siten että solun AH44 on pienempi tai yhtä suuri kuin 0.</t>
        </r>
      </text>
    </comment>
    <comment ref="W56" authorId="1" shapeId="0">
      <text>
        <r>
          <rPr>
            <sz val="9"/>
            <color indexed="81"/>
            <rFont val="Tahoma"/>
            <family val="2"/>
          </rPr>
          <t>Nykyinen uuhimäärä</t>
        </r>
      </text>
    </comment>
    <comment ref="AD56" authorId="1" shapeId="0">
      <text>
        <r>
          <rPr>
            <sz val="9"/>
            <color indexed="81"/>
            <rFont val="Tahoma"/>
            <family val="2"/>
          </rPr>
          <t>Nykyinen uuhimäärä</t>
        </r>
      </text>
    </comment>
    <comment ref="Z67" authorId="2" shapeId="0">
      <text>
        <r>
          <rPr>
            <sz val="9"/>
            <color indexed="81"/>
            <rFont val="Tahoma"/>
            <family val="2"/>
          </rPr>
          <t xml:space="preserve">Tulisi olla lähes sama kuin solussa E41
</t>
        </r>
      </text>
    </comment>
    <comment ref="AG67" authorId="2" shapeId="0">
      <text>
        <r>
          <rPr>
            <sz val="9"/>
            <color indexed="81"/>
            <rFont val="Tahoma"/>
            <family val="2"/>
          </rPr>
          <t xml:space="preserve">Tulisi olla lähes sama kuin solussa E41
</t>
        </r>
      </text>
    </comment>
  </commentList>
</comments>
</file>

<file path=xl/comments4.xml><?xml version="1.0" encoding="utf-8"?>
<comments xmlns="http://schemas.openxmlformats.org/spreadsheetml/2006/main">
  <authors>
    <author>Juho-Heikki a Kauppinen</author>
    <author>Asus</author>
  </authors>
  <commentList>
    <comment ref="A1" authorId="0" shapeId="0">
      <text>
        <r>
          <rPr>
            <sz val="12"/>
            <color indexed="81"/>
            <rFont val="Tahoma"/>
            <family val="2"/>
          </rPr>
          <t>Merkitse D-sarakkeeseen oikea €/ka kg hinta rehun kohdalle valitsemalla se sarakkeesta I. Rehut ovat markkinahintojen mukaisia. Mikäli rehua ei löydy listasta, lisää se itse.
Jos muutat lopussa ruokintaa vapautuvaan tilaan perustuvissa laskelmissa, muista muokata myös tällä sivulla sarakkeiden Y ja AE tietoja tarvittaessa.</t>
        </r>
      </text>
    </comment>
    <comment ref="D4" authorId="0" shapeId="0">
      <text>
        <r>
          <rPr>
            <sz val="9"/>
            <color indexed="81"/>
            <rFont val="Tahoma"/>
            <family val="2"/>
          </rPr>
          <t xml:space="preserve">Mikäli rehun kohdalla lukee "EPÄTOSI", tarkista kirjoitusasu "Ruokinta" välilehdellä jos se löytyy G-sarakkeesta. </t>
        </r>
        <r>
          <rPr>
            <b/>
            <sz val="9"/>
            <color indexed="81"/>
            <rFont val="Tahoma"/>
            <family val="2"/>
          </rPr>
          <t xml:space="preserve">Jos rehua ei ole </t>
        </r>
        <r>
          <rPr>
            <sz val="9"/>
            <color indexed="81"/>
            <rFont val="Tahoma"/>
            <family val="2"/>
          </rPr>
          <t>lisää se itse käsin.</t>
        </r>
      </text>
    </comment>
    <comment ref="I4" authorId="1" shapeId="0">
      <text>
        <r>
          <rPr>
            <sz val="9"/>
            <color indexed="81"/>
            <rFont val="Tahoma"/>
            <family val="2"/>
          </rPr>
          <t xml:space="preserve">Jos tuorepainon kilohinta on tiedossa, saadaan kuiva-aineen kilohinta kaavalla
</t>
        </r>
        <r>
          <rPr>
            <u/>
            <sz val="9"/>
            <color indexed="81"/>
            <rFont val="Tahoma"/>
            <family val="2"/>
          </rPr>
          <t xml:space="preserve">  tuore e/kg *1000  
</t>
        </r>
        <r>
          <rPr>
            <sz val="9"/>
            <color indexed="81"/>
            <rFont val="Tahoma"/>
            <family val="2"/>
          </rPr>
          <t>g/kg kuiva-ainetta</t>
        </r>
      </text>
    </comment>
    <comment ref="D15" authorId="1" shapeId="0">
      <text>
        <r>
          <rPr>
            <sz val="9"/>
            <color indexed="81"/>
            <rFont val="Tahoma"/>
            <family val="2"/>
          </rPr>
          <t>Toteutunut hinta ostorehuilla</t>
        </r>
      </text>
    </comment>
    <comment ref="M15" authorId="1" shapeId="0">
      <text>
        <r>
          <rPr>
            <sz val="9"/>
            <color indexed="81"/>
            <rFont val="Tahoma"/>
            <family val="2"/>
          </rPr>
          <t>Toteutunut hinta ostorehuilla</t>
        </r>
      </text>
    </comment>
    <comment ref="S15" authorId="1" shapeId="0">
      <text>
        <r>
          <rPr>
            <sz val="9"/>
            <color indexed="81"/>
            <rFont val="Tahoma"/>
            <family val="2"/>
          </rPr>
          <t>Toteutunut hinta ostorehuilla</t>
        </r>
      </text>
    </comment>
    <comment ref="Y15" authorId="1" shapeId="0">
      <text>
        <r>
          <rPr>
            <sz val="9"/>
            <color indexed="81"/>
            <rFont val="Tahoma"/>
            <family val="2"/>
          </rPr>
          <t>Toteutunut hinta ostorehuilla</t>
        </r>
      </text>
    </comment>
    <comment ref="AE15" authorId="1" shapeId="0">
      <text>
        <r>
          <rPr>
            <sz val="9"/>
            <color indexed="81"/>
            <rFont val="Tahoma"/>
            <family val="2"/>
          </rPr>
          <t>Toteutunut hinta ostorehuilla</t>
        </r>
      </text>
    </comment>
    <comment ref="Y47" authorId="1" shapeId="0">
      <text>
        <r>
          <rPr>
            <sz val="9"/>
            <color indexed="81"/>
            <rFont val="Tahoma"/>
            <family val="2"/>
          </rPr>
          <t>Toteutunut hinta ostorehuilla</t>
        </r>
      </text>
    </comment>
    <comment ref="AE47" authorId="1" shapeId="0">
      <text>
        <r>
          <rPr>
            <sz val="9"/>
            <color indexed="81"/>
            <rFont val="Tahoma"/>
            <family val="2"/>
          </rPr>
          <t>Toteutunut hinta ostorehuilla</t>
        </r>
      </text>
    </comment>
  </commentList>
</comments>
</file>

<file path=xl/comments5.xml><?xml version="1.0" encoding="utf-8"?>
<comments xmlns="http://schemas.openxmlformats.org/spreadsheetml/2006/main">
  <authors>
    <author>Juho-Heikki a Kauppinen</author>
    <author>Asus</author>
  </authors>
  <commentList>
    <comment ref="A1" authorId="0" shapeId="0">
      <text>
        <r>
          <rPr>
            <sz val="12"/>
            <color indexed="81"/>
            <rFont val="Tahoma"/>
            <family val="2"/>
          </rPr>
          <t>Määrittele aluksi työtekijöiden käyttämä työaika kuukausittain eläintenhoitoon. Voit vaihtaa Henkilö A-D:n kohdalle työntekijän nimen.
Tämän jälkeen jaa työajan käyttö eläinryhmittäin siten että jokaisen kuukauden YHTEENSÄ rivi on tasan 100%. Myyntikaritsoiden osuus lasketaan lihakaritsoiden tietojen perusteella automaattisesti, ottaen huomioon niiden kasvatusaika. Uudistuskaritsat sisältyvät uuhien osuuteen.
Maataloustyöntekijän tuntipalkkana pidetään 16,2 €/h, mikä on vuoden 2015 tason mukainen.</t>
        </r>
      </text>
    </comment>
    <comment ref="D3" authorId="0" shapeId="0">
      <text>
        <r>
          <rPr>
            <sz val="9"/>
            <color indexed="81"/>
            <rFont val="Tahoma"/>
            <family val="2"/>
          </rPr>
          <t>Lisää työntekijöiden tuntimäärät/kuukausi taulukkoon</t>
        </r>
      </text>
    </comment>
    <comment ref="O9" authorId="1" shapeId="0">
      <text>
        <r>
          <rPr>
            <sz val="9"/>
            <color indexed="81"/>
            <rFont val="Tahoma"/>
            <family val="2"/>
          </rPr>
          <t>Vuoden työaika yhteensä kaikilla työntekijöillä</t>
        </r>
      </text>
    </comment>
    <comment ref="E11" authorId="0" shapeId="0">
      <text>
        <r>
          <rPr>
            <sz val="9"/>
            <color indexed="81"/>
            <rFont val="Tahoma"/>
            <family val="2"/>
          </rPr>
          <t>Arvioi miten työtunnit jakautuvat uuhien ja karitsoiden kesken kuukausittain</t>
        </r>
      </text>
    </comment>
    <comment ref="C18" authorId="1" shapeId="0">
      <text>
        <r>
          <rPr>
            <sz val="9"/>
            <color indexed="81"/>
            <rFont val="Tahoma"/>
            <family val="2"/>
          </rPr>
          <t>Maataloustyöntekijän palkkana pidetään laskemissa 16,2 €/tunti. Taso on vuoden 2015 mukainen, päivitä tarvittaessa.</t>
        </r>
      </text>
    </comment>
    <comment ref="P23" authorId="1" shapeId="0">
      <text>
        <r>
          <rPr>
            <sz val="9"/>
            <color indexed="81"/>
            <rFont val="Tahoma"/>
            <family val="2"/>
          </rPr>
          <t>Koko vuoden palkkakustannukset yhteensä kaikilta työntekijöiltä</t>
        </r>
      </text>
    </comment>
    <comment ref="D33" authorId="0" shapeId="0">
      <text>
        <r>
          <rPr>
            <sz val="9"/>
            <color indexed="81"/>
            <rFont val="Tahoma"/>
            <family val="2"/>
          </rPr>
          <t>Työaika eläintä kohden vuodessa tunteina</t>
        </r>
      </text>
    </comment>
    <comment ref="K33" authorId="0" shapeId="0">
      <text>
        <r>
          <rPr>
            <sz val="9"/>
            <color indexed="81"/>
            <rFont val="Tahoma"/>
            <family val="2"/>
          </rPr>
          <t>Työaika eläintä kohden vuodessa tunteina</t>
        </r>
      </text>
    </comment>
    <comment ref="R33" authorId="0" shapeId="0">
      <text>
        <r>
          <rPr>
            <sz val="9"/>
            <color indexed="81"/>
            <rFont val="Tahoma"/>
            <family val="2"/>
          </rPr>
          <t>Työaika eläintä kohden vuodessa tunteina</t>
        </r>
      </text>
    </comment>
    <comment ref="Y33" authorId="0" shapeId="0">
      <text>
        <r>
          <rPr>
            <sz val="9"/>
            <color indexed="81"/>
            <rFont val="Tahoma"/>
            <family val="2"/>
          </rPr>
          <t>Työaika eläintä kohden vuodessa tunteina</t>
        </r>
      </text>
    </comment>
    <comment ref="AF33" authorId="0" shapeId="0">
      <text>
        <r>
          <rPr>
            <sz val="9"/>
            <color indexed="81"/>
            <rFont val="Tahoma"/>
            <family val="2"/>
          </rPr>
          <t>Työaika eläintä kohden vuodessa tunteina</t>
        </r>
      </text>
    </comment>
    <comment ref="Y53" authorId="0" shapeId="0">
      <text>
        <r>
          <rPr>
            <sz val="9"/>
            <color indexed="81"/>
            <rFont val="Tahoma"/>
            <family val="2"/>
          </rPr>
          <t>Työaika eläintä kohden vuodessa tunteina</t>
        </r>
      </text>
    </comment>
    <comment ref="AF53" authorId="0" shapeId="0">
      <text>
        <r>
          <rPr>
            <sz val="9"/>
            <color indexed="81"/>
            <rFont val="Tahoma"/>
            <family val="2"/>
          </rPr>
          <t>Työaika eläintä kohden vuodessa tunteina</t>
        </r>
      </text>
    </comment>
  </commentList>
</comments>
</file>

<file path=xl/comments6.xml><?xml version="1.0" encoding="utf-8"?>
<comments xmlns="http://schemas.openxmlformats.org/spreadsheetml/2006/main">
  <authors>
    <author>Juho-Heikki a Kauppinen</author>
    <author>Asus</author>
    <author>Jukka</author>
  </authors>
  <commentList>
    <comment ref="A1" authorId="0" shapeId="0">
      <text>
        <r>
          <rPr>
            <sz val="12"/>
            <color indexed="81"/>
            <rFont val="Tahoma"/>
            <family val="2"/>
          </rPr>
          <t>Määrittele käytettyjen kuivikkeiden määrä. Ota huomioon omasta tuotannosta saadut ja ostetut ja sijoita niiden määrä oikeisiin soluihin. Lisää ostokuivikkeiden yksikköhinta.
Tämän jälkeen jaottele kuvikkeiden kulutus eri eläinryhmien kesken, minkä jälkeen laskuri laskee vaihtoehtoihin tarvittavat kuivike määrät ja kustannukset.</t>
        </r>
      </text>
    </comment>
    <comment ref="B6" authorId="1" shapeId="0">
      <text>
        <r>
          <rPr>
            <sz val="9"/>
            <color indexed="81"/>
            <rFont val="Tahoma"/>
            <family val="2"/>
          </rPr>
          <t>Nimeä käytetyt kuivikkeet</t>
        </r>
      </text>
    </comment>
    <comment ref="C6" authorId="2" shapeId="0">
      <text>
        <r>
          <rPr>
            <sz val="9"/>
            <color indexed="81"/>
            <rFont val="Tahoma"/>
            <family val="2"/>
          </rPr>
          <t>Lisää omasta tuotannosta saatava kuivikkeen määrä. Omasta tuotannosta saadut kuivikkeet eivät nosta kuivituskustannuksia.</t>
        </r>
      </text>
    </comment>
    <comment ref="D6" authorId="2" shapeId="0">
      <text>
        <r>
          <rPr>
            <sz val="9"/>
            <color indexed="81"/>
            <rFont val="Tahoma"/>
            <family val="2"/>
          </rPr>
          <t>Lisää ostetun kuivikkeen määrä</t>
        </r>
      </text>
    </comment>
  </commentList>
</comments>
</file>

<file path=xl/comments7.xml><?xml version="1.0" encoding="utf-8"?>
<comments xmlns="http://schemas.openxmlformats.org/spreadsheetml/2006/main">
  <authors>
    <author>Juho-Heikki a Kauppinen</author>
    <author>pmviiha</author>
    <author>Yleinen</author>
    <author>Jukka</author>
  </authors>
  <commentList>
    <comment ref="A1" authorId="0" shapeId="0">
      <text>
        <r>
          <rPr>
            <sz val="12"/>
            <color indexed="81"/>
            <rFont val="Tahoma"/>
            <family val="2"/>
          </rPr>
          <t>Lisää muut kustannukset kohtiin vuosittaiset kulut kirjatuissa kohdissa. Voit myös lisätä itse suurempia kulueriä, jotka liittyvät eläintenhoitoon, mutta jotka eivät ole listassa. Tämän jälkeen jaottele kulujen osuus eläinryhmittäin.</t>
        </r>
      </text>
    </comment>
    <comment ref="B5" authorId="1" shapeId="0">
      <text>
        <r>
          <rPr>
            <sz val="10"/>
            <color indexed="81"/>
            <rFont val="Tahoma"/>
            <family val="2"/>
          </rPr>
          <t>Eläin ostot jaettuna uuhimäärällä</t>
        </r>
      </text>
    </comment>
    <comment ref="D5" authorId="0" shapeId="0">
      <text>
        <r>
          <rPr>
            <sz val="9"/>
            <color indexed="81"/>
            <rFont val="Tahoma"/>
            <family val="2"/>
          </rPr>
          <t>Uudistuskaritsan hinta. Ohjeellisena hinta ostokaritsasta pidetään 300€ ja omasta katraasta saatavasta uudistuskaritsasta 150€.</t>
        </r>
      </text>
    </comment>
    <comment ref="B6" authorId="2" shapeId="0">
      <text>
        <r>
          <rPr>
            <sz val="9"/>
            <color indexed="81"/>
            <rFont val="Tahoma"/>
            <family val="2"/>
          </rPr>
          <t>Merkitse tuotantovuosien määrä sivulle Hinnat
Uudistus = 1 / tuotantokausien määrä</t>
        </r>
      </text>
    </comment>
    <comment ref="D6" authorId="0" shapeId="0">
      <text>
        <r>
          <rPr>
            <sz val="9"/>
            <color indexed="81"/>
            <rFont val="Tahoma"/>
            <family val="2"/>
          </rPr>
          <t>Uudistuskaritsan hinta. Ohjeellisena hinta ostokaritsasta pidetään 300€ ja omasta katraasta saatavasta uudistuskaritsasta 150€.</t>
        </r>
      </text>
    </comment>
    <comment ref="C7" authorId="0" shapeId="0">
      <text>
        <r>
          <rPr>
            <sz val="9"/>
            <color indexed="81"/>
            <rFont val="Tahoma"/>
            <family val="2"/>
          </rPr>
          <t>Korkoa laskettaessa käytetään uudistuseläimen hankintahintaa</t>
        </r>
      </text>
    </comment>
    <comment ref="G15" authorId="0" shapeId="0">
      <text>
        <r>
          <rPr>
            <sz val="9"/>
            <color indexed="81"/>
            <rFont val="Tahoma"/>
            <family val="2"/>
          </rPr>
          <t>Sarakkeen prosenttien tulee olle tasan 100%</t>
        </r>
      </text>
    </comment>
    <comment ref="C16" authorId="0" shapeId="0">
      <text>
        <r>
          <rPr>
            <sz val="9"/>
            <color indexed="81"/>
            <rFont val="Tahoma"/>
            <family val="2"/>
          </rPr>
          <t>Merkitse tämän hetkiset kulut kyseisissä kustannuksissa vuosittain, minkä jälkeen jaa ne eläinryhmittäin.</t>
        </r>
      </text>
    </comment>
    <comment ref="D39" authorId="3" shapeId="0">
      <text>
        <r>
          <rPr>
            <sz val="9"/>
            <color indexed="81"/>
            <rFont val="Tahoma"/>
            <family val="2"/>
          </rPr>
          <t>Muuttuvat kustannukset yhteensä</t>
        </r>
      </text>
    </comment>
    <comment ref="E39" authorId="3" shapeId="0">
      <text>
        <r>
          <rPr>
            <sz val="9"/>
            <color indexed="81"/>
            <rFont val="Tahoma"/>
            <family val="2"/>
          </rPr>
          <t>Liikepääoman korko</t>
        </r>
      </text>
    </comment>
    <comment ref="J39" authorId="3" shapeId="0">
      <text>
        <r>
          <rPr>
            <sz val="9"/>
            <color indexed="81"/>
            <rFont val="Tahoma"/>
            <family val="2"/>
          </rPr>
          <t>Muuttuvat kustannukset</t>
        </r>
      </text>
    </comment>
    <comment ref="K39" authorId="3" shapeId="0">
      <text>
        <r>
          <rPr>
            <sz val="9"/>
            <color indexed="81"/>
            <rFont val="Tahoma"/>
            <family val="2"/>
          </rPr>
          <t>Liikepääoman korko</t>
        </r>
      </text>
    </comment>
    <comment ref="P39" authorId="3" shapeId="0">
      <text>
        <r>
          <rPr>
            <sz val="9"/>
            <color indexed="81"/>
            <rFont val="Tahoma"/>
            <family val="2"/>
          </rPr>
          <t>Muuttuvat kustannukset</t>
        </r>
      </text>
    </comment>
    <comment ref="Q39" authorId="3" shapeId="0">
      <text>
        <r>
          <rPr>
            <sz val="9"/>
            <color indexed="81"/>
            <rFont val="Tahoma"/>
            <family val="2"/>
          </rPr>
          <t>Liikepääoman korko</t>
        </r>
      </text>
    </comment>
    <comment ref="V39" authorId="3" shapeId="0">
      <text>
        <r>
          <rPr>
            <sz val="9"/>
            <color indexed="81"/>
            <rFont val="Tahoma"/>
            <family val="2"/>
          </rPr>
          <t>Muuttuvat kustannukset</t>
        </r>
      </text>
    </comment>
    <comment ref="W39" authorId="3" shapeId="0">
      <text>
        <r>
          <rPr>
            <sz val="9"/>
            <color indexed="81"/>
            <rFont val="Tahoma"/>
            <family val="2"/>
          </rPr>
          <t>Liikepääoman korko</t>
        </r>
      </text>
    </comment>
    <comment ref="AB39" authorId="3" shapeId="0">
      <text>
        <r>
          <rPr>
            <sz val="9"/>
            <color indexed="81"/>
            <rFont val="Tahoma"/>
            <family val="2"/>
          </rPr>
          <t>Muuttuvat kustannukset</t>
        </r>
      </text>
    </comment>
    <comment ref="AC39" authorId="3" shapeId="0">
      <text>
        <r>
          <rPr>
            <sz val="9"/>
            <color indexed="81"/>
            <rFont val="Tahoma"/>
            <family val="2"/>
          </rPr>
          <t>Liikepääoman korko</t>
        </r>
      </text>
    </comment>
    <comment ref="AH39" authorId="3" shapeId="0">
      <text>
        <r>
          <rPr>
            <sz val="9"/>
            <color indexed="81"/>
            <rFont val="Tahoma"/>
            <family val="2"/>
          </rPr>
          <t>Muuttuvat kustannukset</t>
        </r>
      </text>
    </comment>
    <comment ref="AI39" authorId="3" shapeId="0">
      <text>
        <r>
          <rPr>
            <sz val="9"/>
            <color indexed="81"/>
            <rFont val="Tahoma"/>
            <family val="2"/>
          </rPr>
          <t>Liikepääoman korko</t>
        </r>
      </text>
    </comment>
    <comment ref="AN39" authorId="3" shapeId="0">
      <text>
        <r>
          <rPr>
            <sz val="9"/>
            <color indexed="81"/>
            <rFont val="Tahoma"/>
            <family val="2"/>
          </rPr>
          <t>Muuttuvat kustannukset</t>
        </r>
      </text>
    </comment>
    <comment ref="AO39" authorId="3" shapeId="0">
      <text>
        <r>
          <rPr>
            <sz val="9"/>
            <color indexed="81"/>
            <rFont val="Tahoma"/>
            <family val="2"/>
          </rPr>
          <t>Liikepääoman korko</t>
        </r>
      </text>
    </comment>
  </commentList>
</comments>
</file>

<file path=xl/comments8.xml><?xml version="1.0" encoding="utf-8"?>
<comments xmlns="http://schemas.openxmlformats.org/spreadsheetml/2006/main">
  <authors>
    <author>Juho-Heikki a Kauppinen</author>
    <author>Asus</author>
  </authors>
  <commentList>
    <comment ref="A1" authorId="0" shapeId="0">
      <text>
        <r>
          <rPr>
            <sz val="12"/>
            <color indexed="81"/>
            <rFont val="Tahoma"/>
            <family val="2"/>
          </rPr>
          <t>Määrittele poistouuhien sekä teuraskaritsoiden keskimääräinen ruhopaino sekä keskimääräiset kilohinnat.
Määrittele soluun B18 myyntikaritsoiden hinta, vaikka niitä ei olisi, sillä laskuri poimii sen kyseisestä solusta jatkoa varten. Myyntihinta on yleensä 2 - 2,5 €.</t>
        </r>
      </text>
    </comment>
    <comment ref="C9" authorId="1" shapeId="0">
      <text>
        <r>
          <rPr>
            <sz val="9"/>
            <color indexed="81"/>
            <rFont val="Tahoma"/>
            <family val="2"/>
          </rPr>
          <t>Merkitse teurasuuhien ja -karitsoiden keskimääräinen ruhopaino</t>
        </r>
      </text>
    </comment>
    <comment ref="D9" authorId="1" shapeId="0">
      <text>
        <r>
          <rPr>
            <sz val="9"/>
            <color indexed="81"/>
            <rFont val="Tahoma"/>
            <family val="2"/>
          </rPr>
          <t>Merkitse keskimääräinen lihan kilohinta uuhelle ja karitsalle</t>
        </r>
      </text>
    </comment>
    <comment ref="B18" authorId="1" shapeId="0">
      <text>
        <r>
          <rPr>
            <sz val="9"/>
            <color indexed="81"/>
            <rFont val="Tahoma"/>
            <family val="2"/>
          </rPr>
          <t>Merkitse myyntikaritsoiden myyntihinta euroa / elopainokilo. Yleensä 2 -2,5 euroa.</t>
        </r>
      </text>
    </comment>
  </commentList>
</comments>
</file>

<file path=xl/comments9.xml><?xml version="1.0" encoding="utf-8"?>
<comments xmlns="http://schemas.openxmlformats.org/spreadsheetml/2006/main">
  <authors>
    <author>Juho-Heikki a Kauppinen</author>
    <author>Asus</author>
  </authors>
  <commentList>
    <comment ref="A1" authorId="0" shapeId="0">
      <text>
        <r>
          <rPr>
            <sz val="12"/>
            <color indexed="81"/>
            <rFont val="Tahoma"/>
            <family val="2"/>
          </rPr>
          <t>Lisää soluun C5 mahdollisten APR sopimukseen kuuluvien eläinten määrä. Sen jälkeen rastita sarake A:sta tilan saamat eläintuet.
Lisää vielä soluun E21 teuraskaritsoiden määrä, jotka eivät ole yltäneet teuraskaritsan laatupalkkioon tai on muuten hylätty.</t>
        </r>
      </text>
    </comment>
    <comment ref="D4" authorId="0" shapeId="0">
      <text>
        <r>
          <rPr>
            <sz val="9"/>
            <color indexed="81"/>
            <rFont val="Tahoma"/>
            <family val="2"/>
          </rPr>
          <t>Uuhi = 0,2 ey</t>
        </r>
      </text>
    </comment>
    <comment ref="I4" authorId="0" shapeId="0">
      <text>
        <r>
          <rPr>
            <sz val="9"/>
            <color indexed="81"/>
            <rFont val="Tahoma"/>
            <family val="2"/>
          </rPr>
          <t>Uuhi = 0,2 ey</t>
        </r>
      </text>
    </comment>
    <comment ref="N4" authorId="0" shapeId="0">
      <text>
        <r>
          <rPr>
            <sz val="9"/>
            <color indexed="81"/>
            <rFont val="Tahoma"/>
            <family val="2"/>
          </rPr>
          <t>Uuhi = 0,2 ey</t>
        </r>
      </text>
    </comment>
    <comment ref="S4" authorId="0" shapeId="0">
      <text>
        <r>
          <rPr>
            <sz val="9"/>
            <color indexed="81"/>
            <rFont val="Tahoma"/>
            <family val="2"/>
          </rPr>
          <t>Uuhi = 0,2 ey</t>
        </r>
      </text>
    </comment>
    <comment ref="X4" authorId="0" shapeId="0">
      <text>
        <r>
          <rPr>
            <sz val="9"/>
            <color indexed="81"/>
            <rFont val="Tahoma"/>
            <family val="2"/>
          </rPr>
          <t>Uuhi = 0,2 ey</t>
        </r>
      </text>
    </comment>
    <comment ref="B5" authorId="1" shapeId="0">
      <text>
        <r>
          <rPr>
            <sz val="9"/>
            <color indexed="81"/>
            <rFont val="Tahoma"/>
            <family val="2"/>
          </rPr>
          <t>Merkitse alkuperäisrotutuen piirissä olevien eläinten määrä, mikäli sellaisia on.</t>
        </r>
      </text>
    </comment>
    <comment ref="B8" authorId="0" shapeId="0">
      <text>
        <r>
          <rPr>
            <sz val="9"/>
            <color indexed="81"/>
            <rFont val="Tahoma"/>
            <family val="2"/>
          </rPr>
          <t>Tuki koskee vain C-tukialuetta. Tukitasot vaihtelevat myös C-alueen sisällä</t>
        </r>
      </text>
    </comment>
    <comment ref="G8" authorId="0" shapeId="0">
      <text>
        <r>
          <rPr>
            <sz val="9"/>
            <color indexed="81"/>
            <rFont val="Tahoma"/>
            <family val="2"/>
          </rPr>
          <t>Tuki koskee vain C-tukialuetta. Tukitasot vaihtelevat myös C-alueen sisällä</t>
        </r>
      </text>
    </comment>
    <comment ref="L8" authorId="0" shapeId="0">
      <text>
        <r>
          <rPr>
            <sz val="9"/>
            <color indexed="81"/>
            <rFont val="Tahoma"/>
            <family val="2"/>
          </rPr>
          <t>Tuki koskee vain C-tukialuetta. Tukitasot vaihtelevat myös C-alueen sisällä</t>
        </r>
      </text>
    </comment>
    <comment ref="Q8" authorId="0" shapeId="0">
      <text>
        <r>
          <rPr>
            <sz val="9"/>
            <color indexed="81"/>
            <rFont val="Tahoma"/>
            <family val="2"/>
          </rPr>
          <t>Tuki koskee vain C-tukialuetta. Tukitasot vaihtelevat myös C-alueen sisällä</t>
        </r>
      </text>
    </comment>
    <comment ref="V8" authorId="0" shapeId="0">
      <text>
        <r>
          <rPr>
            <sz val="9"/>
            <color indexed="81"/>
            <rFont val="Tahoma"/>
            <family val="2"/>
          </rPr>
          <t>Tuki koskee vain C-tukialuetta. Tukitasot vaihtelevat myös C-alueen sisällä</t>
        </r>
      </text>
    </comment>
    <comment ref="B9" authorId="0" shapeId="0">
      <text>
        <r>
          <rPr>
            <sz val="9"/>
            <color indexed="81"/>
            <rFont val="Tahoma"/>
            <family val="2"/>
          </rPr>
          <t>Tuki koskee vain AB-tukialuetta.
Palkkiotaso vaihtelee
AB-ulkosaaristo: 100€/uuhi
Manner-Ahvenanmaa: 70€/uuhi
Muu AB-alue: 50€/uuhi</t>
        </r>
      </text>
    </comment>
    <comment ref="G9" authorId="0" shapeId="0">
      <text>
        <r>
          <rPr>
            <sz val="9"/>
            <color indexed="81"/>
            <rFont val="Tahoma"/>
            <family val="2"/>
          </rPr>
          <t>Tuki koskee vain AB-tukialuetta.
Palkkiotaso vaihtelee
AB-ulkosaaristo: 100€/uuhi
Manner-Ahvenanmaa: 70€/uuhi
Muu AB-alue: 50€/uuhi</t>
        </r>
      </text>
    </comment>
    <comment ref="L9" authorId="0" shapeId="0">
      <text>
        <r>
          <rPr>
            <sz val="9"/>
            <color indexed="81"/>
            <rFont val="Tahoma"/>
            <family val="2"/>
          </rPr>
          <t>Tuki koskee vain AB-tukialuetta.
Palkkiotaso vaihtelee
AB-ulkosaaristo: 100€/uuhi
Manner-Ahvenanmaa: 70€/uuhi
Muu AB-alue: 50€/uuhi</t>
        </r>
      </text>
    </comment>
    <comment ref="Q9" authorId="0" shapeId="0">
      <text>
        <r>
          <rPr>
            <sz val="9"/>
            <color indexed="81"/>
            <rFont val="Tahoma"/>
            <family val="2"/>
          </rPr>
          <t>Tuki koskee vain AB-tukialuetta.
Palkkiotaso vaihtelee
AB-ulkosaaristo: 100€/uuhi
Manner-Ahvenanmaa: 70€/uuhi
Muu AB-alue: 50€/uuhi</t>
        </r>
      </text>
    </comment>
    <comment ref="V9" authorId="0" shapeId="0">
      <text>
        <r>
          <rPr>
            <sz val="9"/>
            <color indexed="81"/>
            <rFont val="Tahoma"/>
            <family val="2"/>
          </rPr>
          <t>Tuki koskee vain AB-tukialuetta.
Palkkiotaso vaihtelee
AB-ulkosaaristo: 100€/uuhi
Manner-Ahvenanmaa: 70€/uuhi
Muu AB-alue: 50€/uuhi</t>
        </r>
      </text>
    </comment>
    <comment ref="S15" authorId="0" shapeId="0">
      <text>
        <r>
          <rPr>
            <sz val="9"/>
            <color indexed="81"/>
            <rFont val="Tahoma"/>
            <family val="2"/>
          </rPr>
          <t>Karitsa = 0,06 ey</t>
        </r>
      </text>
    </comment>
    <comment ref="X15" authorId="0" shapeId="0">
      <text>
        <r>
          <rPr>
            <sz val="9"/>
            <color indexed="81"/>
            <rFont val="Tahoma"/>
            <family val="2"/>
          </rPr>
          <t>Karitsa = 0,06 ey</t>
        </r>
      </text>
    </comment>
    <comment ref="E19" authorId="0" shapeId="0">
      <text>
        <r>
          <rPr>
            <sz val="9"/>
            <color indexed="81"/>
            <rFont val="Tahoma"/>
            <family val="2"/>
          </rPr>
          <t>Karitsoiden lukumäärä keskimäärin, jotka eivät yllä laatupalkkioon</t>
        </r>
      </text>
    </comment>
    <comment ref="D20" authorId="0" shapeId="0">
      <text>
        <r>
          <rPr>
            <sz val="9"/>
            <color indexed="81"/>
            <rFont val="Tahoma"/>
            <family val="2"/>
          </rPr>
          <t>Karitsa = 0,06 ey</t>
        </r>
      </text>
    </comment>
    <comment ref="I20" authorId="0" shapeId="0">
      <text>
        <r>
          <rPr>
            <sz val="9"/>
            <color indexed="81"/>
            <rFont val="Tahoma"/>
            <family val="2"/>
          </rPr>
          <t>Karitsa = 0,06 ey</t>
        </r>
      </text>
    </comment>
    <comment ref="N20" authorId="0" shapeId="0">
      <text>
        <r>
          <rPr>
            <sz val="9"/>
            <color indexed="81"/>
            <rFont val="Tahoma"/>
            <family val="2"/>
          </rPr>
          <t>Karitsa = 0,06 ey</t>
        </r>
      </text>
    </comment>
    <comment ref="S36" authorId="0" shapeId="0">
      <text>
        <r>
          <rPr>
            <sz val="9"/>
            <color indexed="81"/>
            <rFont val="Tahoma"/>
            <family val="2"/>
          </rPr>
          <t>Uuhi = 0,2 ey</t>
        </r>
      </text>
    </comment>
    <comment ref="X36" authorId="0" shapeId="0">
      <text>
        <r>
          <rPr>
            <sz val="9"/>
            <color indexed="81"/>
            <rFont val="Tahoma"/>
            <family val="2"/>
          </rPr>
          <t>Uuhi = 0,2 ey</t>
        </r>
      </text>
    </comment>
    <comment ref="Q40" authorId="0" shapeId="0">
      <text>
        <r>
          <rPr>
            <sz val="9"/>
            <color indexed="81"/>
            <rFont val="Tahoma"/>
            <family val="2"/>
          </rPr>
          <t>Tuki koskee vain C-tukialuetta. Tukitasot vaihtelevat myös C-alueen sisällä</t>
        </r>
      </text>
    </comment>
    <comment ref="V40" authorId="0" shapeId="0">
      <text>
        <r>
          <rPr>
            <sz val="9"/>
            <color indexed="81"/>
            <rFont val="Tahoma"/>
            <family val="2"/>
          </rPr>
          <t>Tuki koskee vain C-tukialuetta. Tukitasot vaihtelevat myös C-alueen sisällä</t>
        </r>
      </text>
    </comment>
    <comment ref="Q41" authorId="0" shapeId="0">
      <text>
        <r>
          <rPr>
            <sz val="9"/>
            <color indexed="81"/>
            <rFont val="Tahoma"/>
            <family val="2"/>
          </rPr>
          <t>Tuki koskee vain AB-tukialuetta.
Palkkiotaso vaihtelee
AB-ulkosaaristo: 100€/uuhi
Manner-Ahvenanmaa: 70€/uuhi
Muu AB-alue: 50€/uuhi</t>
        </r>
      </text>
    </comment>
    <comment ref="V41" authorId="0" shapeId="0">
      <text>
        <r>
          <rPr>
            <sz val="9"/>
            <color indexed="81"/>
            <rFont val="Tahoma"/>
            <family val="2"/>
          </rPr>
          <t>Tuki koskee vain AB-tukialuetta.
Palkkiotaso vaihtelee
AB-ulkosaaristo: 100€/uuhi
Manner-Ahvenanmaa: 70€/uuhi
Muu AB-alue: 50€/uuhi</t>
        </r>
      </text>
    </comment>
    <comment ref="S53" authorId="0" shapeId="0">
      <text>
        <r>
          <rPr>
            <sz val="9"/>
            <color indexed="81"/>
            <rFont val="Tahoma"/>
            <family val="2"/>
          </rPr>
          <t>Karitsa = 0,06 ey</t>
        </r>
      </text>
    </comment>
    <comment ref="X53" authorId="0" shapeId="0">
      <text>
        <r>
          <rPr>
            <sz val="9"/>
            <color indexed="81"/>
            <rFont val="Tahoma"/>
            <family val="2"/>
          </rPr>
          <t>Karitsa = 0,06 ey</t>
        </r>
      </text>
    </comment>
  </commentList>
</comments>
</file>

<file path=xl/sharedStrings.xml><?xml version="1.0" encoding="utf-8"?>
<sst xmlns="http://schemas.openxmlformats.org/spreadsheetml/2006/main" count="2002" uniqueCount="316">
  <si>
    <t>Uuhet</t>
  </si>
  <si>
    <t>Määrä</t>
  </si>
  <si>
    <t>TUOTANTO</t>
  </si>
  <si>
    <t>ha</t>
  </si>
  <si>
    <t>sato kg/ha</t>
  </si>
  <si>
    <t>kg</t>
  </si>
  <si>
    <t>g/kg</t>
  </si>
  <si>
    <t>kg ka/ha</t>
  </si>
  <si>
    <t>kg ka</t>
  </si>
  <si>
    <t>Säilörehu</t>
  </si>
  <si>
    <t>Laidun</t>
  </si>
  <si>
    <t>Ohra</t>
  </si>
  <si>
    <t>Kaura</t>
  </si>
  <si>
    <t>ME</t>
  </si>
  <si>
    <t>sato MJ/ha</t>
  </si>
  <si>
    <t>yhteensä</t>
  </si>
  <si>
    <t>MJ</t>
  </si>
  <si>
    <t xml:space="preserve">Ostorehut yhteensä, MJ </t>
  </si>
  <si>
    <t xml:space="preserve">Kotoiset- ja ostorehut yhteensä, MJ </t>
  </si>
  <si>
    <t xml:space="preserve">Kotieläintuotannon rehun tarve yhteensä, MJ </t>
  </si>
  <si>
    <t xml:space="preserve">   edellisten erotus, MJ </t>
  </si>
  <si>
    <t>Ostorehut</t>
  </si>
  <si>
    <t>Kotoisen rehun tuotanto</t>
  </si>
  <si>
    <t>Rehun kuiva-aine ja energia</t>
  </si>
  <si>
    <t>Rehun tuotannon ja kotieläinten rehun tarpeen vertailu</t>
  </si>
  <si>
    <t>Uuhi</t>
  </si>
  <si>
    <t>Karitsa</t>
  </si>
  <si>
    <t>Lukumäärä</t>
  </si>
  <si>
    <t>Tuen nimi</t>
  </si>
  <si>
    <t>Tukipotti</t>
  </si>
  <si>
    <t>Pohjoinen uuhituki</t>
  </si>
  <si>
    <t>Uuhipalkkio</t>
  </si>
  <si>
    <t>Hyvinvointikorvaus</t>
  </si>
  <si>
    <t>3.1 Lampaiden ruokinta</t>
  </si>
  <si>
    <t>3.2 Pito-olosuhteiden parantaminen</t>
  </si>
  <si>
    <t>3.3 Lampaiden hoito</t>
  </si>
  <si>
    <t>YHTEENSÄ</t>
  </si>
  <si>
    <t>Alkuperäisrotutuki</t>
  </si>
  <si>
    <t>Teuraskaritsan laatupalkkio</t>
  </si>
  <si>
    <t>Tuen suuruus</t>
  </si>
  <si>
    <t>Uuhet ja karitsat yhteensä</t>
  </si>
  <si>
    <t>NYKYTILANNE</t>
  </si>
  <si>
    <t xml:space="preserve">TILA: </t>
  </si>
  <si>
    <t>Päivämäärä</t>
  </si>
  <si>
    <t>alle 15 kg</t>
  </si>
  <si>
    <t>yli 30 kg</t>
  </si>
  <si>
    <t>15-30 kg</t>
  </si>
  <si>
    <t>55 kg</t>
  </si>
  <si>
    <t>75 kg</t>
  </si>
  <si>
    <t>Tiine 55 kg</t>
  </si>
  <si>
    <t>Tiine 75 kg</t>
  </si>
  <si>
    <t>Karitsoiden paino keskimäärin</t>
  </si>
  <si>
    <t>Uuhien paino keskimäärin</t>
  </si>
  <si>
    <t>Täytepohja</t>
  </si>
  <si>
    <t>Ritilälattia</t>
  </si>
  <si>
    <t>Rakolattia</t>
  </si>
  <si>
    <t>m2/eläin eri lattiapohjilla</t>
  </si>
  <si>
    <t>Karitsat (uudistus)</t>
  </si>
  <si>
    <t>Karitsat (myynti)</t>
  </si>
  <si>
    <t>Uuhimäärä</t>
  </si>
  <si>
    <t>Kotoiset rehut</t>
  </si>
  <si>
    <t>alle 4kk</t>
  </si>
  <si>
    <t>4kk ja yli</t>
  </si>
  <si>
    <t>karitsakamari</t>
  </si>
  <si>
    <t>Tuotantovaihe</t>
  </si>
  <si>
    <t>Elopaino,kg</t>
  </si>
  <si>
    <t>ME, MJ/pv</t>
  </si>
  <si>
    <t>Ylläpito</t>
  </si>
  <si>
    <t>Lisätarve tiineyteen</t>
  </si>
  <si>
    <t>&lt; 2 karitsaa</t>
  </si>
  <si>
    <t>viim. 2 viikkoa</t>
  </si>
  <si>
    <t>&gt; 2 karitsaa</t>
  </si>
  <si>
    <t>Lisätarve imetyksen aikana</t>
  </si>
  <si>
    <t>1 karitsa</t>
  </si>
  <si>
    <t>2-3 karitsaa</t>
  </si>
  <si>
    <t>3-4 karitsaa</t>
  </si>
  <si>
    <t>Siitospässin lisätarve</t>
  </si>
  <si>
    <t>Uuhien kiihotusruokintalisä</t>
  </si>
  <si>
    <t>6 vk ennen
karitsoimista</t>
  </si>
  <si>
    <t>6 vk ennen
 karitsoimista</t>
  </si>
  <si>
    <t>6-2 vk ennen karitsointia</t>
  </si>
  <si>
    <t>2 vk ennen karitsointia</t>
  </si>
  <si>
    <t>Imetyskausi</t>
  </si>
  <si>
    <t>Kesto vrk</t>
  </si>
  <si>
    <t>MJ/päivä</t>
  </si>
  <si>
    <t>Yhteensä</t>
  </si>
  <si>
    <t>Kiihotusruokintalisä</t>
  </si>
  <si>
    <t>Uuhen energiantarve / karitsointikierto</t>
  </si>
  <si>
    <t>UUHET</t>
  </si>
  <si>
    <t>KARITSAT</t>
  </si>
  <si>
    <t>Elopaino, kg</t>
  </si>
  <si>
    <t>Lisäkasvu, kg/pv</t>
  </si>
  <si>
    <t>Kasvatus kesto pv</t>
  </si>
  <si>
    <t>MJ/kasva
tusvaihe</t>
  </si>
  <si>
    <t>Kaikki uuhet</t>
  </si>
  <si>
    <t>Kaikki
karitsat</t>
  </si>
  <si>
    <t>LUKE</t>
  </si>
  <si>
    <t>ka g/kg</t>
  </si>
  <si>
    <t>määrä, kg</t>
  </si>
  <si>
    <t>Yhteensä kotoiset &amp; ostorehut</t>
  </si>
  <si>
    <t>€ / kg</t>
  </si>
  <si>
    <t>Nykyinen</t>
  </si>
  <si>
    <t>Lihaa kg</t>
  </si>
  <si>
    <t>Uuhen liha € yhteensä</t>
  </si>
  <si>
    <t>Karitsan lihaa € yhteensä</t>
  </si>
  <si>
    <t>Lihan myynti yhteensä</t>
  </si>
  <si>
    <t>Myytävät karitsat</t>
  </si>
  <si>
    <t>Myyntihinta €/kg</t>
  </si>
  <si>
    <t>Teurasuuhia</t>
  </si>
  <si>
    <t>Hyvinvointikorvauksen pinta-ala vaateet / eläin</t>
  </si>
  <si>
    <t>m2/eläin</t>
  </si>
  <si>
    <t>Tiineet uuhet</t>
  </si>
  <si>
    <t>€ / eläin</t>
  </si>
  <si>
    <t>Heinä</t>
  </si>
  <si>
    <t>Rypsi</t>
  </si>
  <si>
    <t>Muut uuhet</t>
  </si>
  <si>
    <t>Hyvinvointikorvaus tila</t>
  </si>
  <si>
    <t>Karitsakamari</t>
  </si>
  <si>
    <t>hinta €/kg</t>
  </si>
  <si>
    <t>LAIN ASETTAMAT MINIMI PINTA-ALAT ERI PAINOISILLE LAMPAILLE</t>
  </si>
  <si>
    <t>Yhteensä m2</t>
  </si>
  <si>
    <t>Lisäuuhet</t>
  </si>
  <si>
    <t>Kuolleisuus %</t>
  </si>
  <si>
    <t>Syntyviä karitsoita</t>
  </si>
  <si>
    <t>Karitsan liha</t>
  </si>
  <si>
    <t>Uuhen liha</t>
  </si>
  <si>
    <t>Tammi</t>
  </si>
  <si>
    <t>Helmi</t>
  </si>
  <si>
    <t>Maalis</t>
  </si>
  <si>
    <t>Huhti</t>
  </si>
  <si>
    <t>Touko</t>
  </si>
  <si>
    <t>Kesä</t>
  </si>
  <si>
    <t>Elo</t>
  </si>
  <si>
    <t>Syys</t>
  </si>
  <si>
    <t>Loka</t>
  </si>
  <si>
    <t>Marras</t>
  </si>
  <si>
    <t>Joulu</t>
  </si>
  <si>
    <t>Henkilö A</t>
  </si>
  <si>
    <t>Henkilö B</t>
  </si>
  <si>
    <t>Henkilö C</t>
  </si>
  <si>
    <t>Henkilö D</t>
  </si>
  <si>
    <t>NYKYINEN</t>
  </si>
  <si>
    <t>Työtunnit kuukaudessa eläintenhoitoon</t>
  </si>
  <si>
    <t xml:space="preserve">  €/tunti</t>
  </si>
  <si>
    <t>Tuntien jakautuminen uuhien ja karitsoiden kesken</t>
  </si>
  <si>
    <t>Markkinahinnat</t>
  </si>
  <si>
    <t>Keskim.</t>
  </si>
  <si>
    <t>Työaika/eläin</t>
  </si>
  <si>
    <t>€/vuosi</t>
  </si>
  <si>
    <t>€/kk</t>
  </si>
  <si>
    <t>€/pv</t>
  </si>
  <si>
    <t xml:space="preserve"> h/vuosi</t>
  </si>
  <si>
    <t xml:space="preserve">  min/kk</t>
  </si>
  <si>
    <t xml:space="preserve">  min/pv</t>
  </si>
  <si>
    <t>Karitsoiden myynti</t>
  </si>
  <si>
    <t>Tuet ja palkkiot</t>
  </si>
  <si>
    <t>Ruokinta</t>
  </si>
  <si>
    <t>Uuhen energiantarve / vuosi</t>
  </si>
  <si>
    <t>yht.</t>
  </si>
  <si>
    <t>Energiatarve/uuhi</t>
  </si>
  <si>
    <t>Uuhien määrä max</t>
  </si>
  <si>
    <t>Lihakaritsan energiantarve</t>
  </si>
  <si>
    <t>Lihakaritsat</t>
  </si>
  <si>
    <t>Uudistuskaritsat</t>
  </si>
  <si>
    <t>Uudistus%</t>
  </si>
  <si>
    <t>Uudistuskaritsan energiantarve</t>
  </si>
  <si>
    <t>Uuhien enimmäismäärä suhteutettuna pelto alaan</t>
  </si>
  <si>
    <t>Uudistus karitsan energiantarve</t>
  </si>
  <si>
    <t>Uudistukaritsoiden lkm</t>
  </si>
  <si>
    <t>Myyntikaritsan energiantarve</t>
  </si>
  <si>
    <t>Kaikki
myytävät</t>
  </si>
  <si>
    <t>Uuhille jäävä määrä</t>
  </si>
  <si>
    <t>Karitsoiden tarve</t>
  </si>
  <si>
    <t>Hylätyt</t>
  </si>
  <si>
    <t>Uudistuskaritsa lkm</t>
  </si>
  <si>
    <t>Lihakaritsa lkm</t>
  </si>
  <si>
    <t>Myyntikaritsat</t>
  </si>
  <si>
    <t>Työaika</t>
  </si>
  <si>
    <t>Kaikki</t>
  </si>
  <si>
    <t>Vuoden työtunnit yhteensä</t>
  </si>
  <si>
    <t>€/eläin/v</t>
  </si>
  <si>
    <t>Vuoden palkkakustannukset yhteensä</t>
  </si>
  <si>
    <t>Karitsat (liha)</t>
  </si>
  <si>
    <t>Vierotusikä päivinä</t>
  </si>
  <si>
    <t>Uuhien energiantarve / vuosi</t>
  </si>
  <si>
    <t>Uuhien energiantarve / karitsointikierto</t>
  </si>
  <si>
    <t>Eläinyksiköinä</t>
  </si>
  <si>
    <t>Karitsointijaksot/vuosi</t>
  </si>
  <si>
    <t>Lihakaritsa</t>
  </si>
  <si>
    <t>HYVINVOINTIKORVAUSTILAT</t>
  </si>
  <si>
    <t>TUOTOT</t>
  </si>
  <si>
    <t>Kuivitus</t>
  </si>
  <si>
    <t>Uudistus</t>
  </si>
  <si>
    <t>Muut</t>
  </si>
  <si>
    <t>Työ</t>
  </si>
  <si>
    <t>KATE</t>
  </si>
  <si>
    <t>Eläinpääoman korko</t>
  </si>
  <si>
    <t>Myyntikaritsa</t>
  </si>
  <si>
    <t>Työkustannukset kuukausittain</t>
  </si>
  <si>
    <t>Työkustannus/eläin</t>
  </si>
  <si>
    <t>Vuoden työkustannukset yhteensä</t>
  </si>
  <si>
    <t>Olki</t>
  </si>
  <si>
    <t>Turve</t>
  </si>
  <si>
    <t>Kustannus</t>
  </si>
  <si>
    <t>€/yksikkö</t>
  </si>
  <si>
    <t>€/eläin</t>
  </si>
  <si>
    <r>
      <rPr>
        <sz val="10"/>
        <rFont val="Arial"/>
        <family val="2"/>
      </rPr>
      <t>Uudistus,</t>
    </r>
    <r>
      <rPr>
        <sz val="8"/>
        <rFont val="Arial"/>
        <family val="2"/>
      </rPr>
      <t xml:space="preserve"> osto eläimet</t>
    </r>
  </si>
  <si>
    <r>
      <rPr>
        <sz val="10"/>
        <rFont val="Arial"/>
        <family val="2"/>
      </rPr>
      <t>Uudistus</t>
    </r>
    <r>
      <rPr>
        <sz val="8"/>
        <rFont val="Arial"/>
        <family val="2"/>
      </rPr>
      <t xml:space="preserve"> omasta katraasta</t>
    </r>
  </si>
  <si>
    <t>Tuotantokausia keskim.</t>
  </si>
  <si>
    <t>Eläinostot/vuosi</t>
  </si>
  <si>
    <t>á</t>
  </si>
  <si>
    <t>€</t>
  </si>
  <si>
    <t>Kustannus/uudistuskaritsa/vuosi</t>
  </si>
  <si>
    <t>Uudistuskustannus yht.</t>
  </si>
  <si>
    <t>Muut kustannukset</t>
  </si>
  <si>
    <t>Eläinlääkintä</t>
  </si>
  <si>
    <t>Aitaustarvikkeet</t>
  </si>
  <si>
    <t>Raadonkäsittely</t>
  </si>
  <si>
    <t>Jalostus &amp; tarkkailu</t>
  </si>
  <si>
    <t>Vesi</t>
  </si>
  <si>
    <t>Sähkö &amp; lämmitys</t>
  </si>
  <si>
    <t>Yht.</t>
  </si>
  <si>
    <t>Osuus/eläinryhmä</t>
  </si>
  <si>
    <t>Eläintä kohden €</t>
  </si>
  <si>
    <t>MAX. KAPASITEETTI HUOMIOIDEN</t>
  </si>
  <si>
    <t>VAPAUTUVA TILA</t>
  </si>
  <si>
    <t>VAPAUTUVA TILA  &amp; TIHEÄ KARITSOINTI</t>
  </si>
  <si>
    <t>Siitospässi</t>
  </si>
  <si>
    <t>Astutusryhmän koko</t>
  </si>
  <si>
    <t>Siitospässi lkm</t>
  </si>
  <si>
    <t>Siitospässin energiantarve</t>
  </si>
  <si>
    <t>Kaikki
siitospässit</t>
  </si>
  <si>
    <t>Lisätarve</t>
  </si>
  <si>
    <t>MJ/vuosi</t>
  </si>
  <si>
    <t>€ / ka kg</t>
  </si>
  <si>
    <t>m2</t>
  </si>
  <si>
    <t>Kerintä</t>
  </si>
  <si>
    <t>Vehnä</t>
  </si>
  <si>
    <t>Uuhet karitsoineen</t>
  </si>
  <si>
    <t>Paino keskimäärin</t>
  </si>
  <si>
    <t>määrä, kg ka</t>
  </si>
  <si>
    <t>€/ ka kg</t>
  </si>
  <si>
    <t>Härkäpapu</t>
  </si>
  <si>
    <t>Siitospässit</t>
  </si>
  <si>
    <t>KUIVITUSKUSTANNUKSET</t>
  </si>
  <si>
    <t>Oma tuot.</t>
  </si>
  <si>
    <t>Ostettu</t>
  </si>
  <si>
    <t>Yksikköä/eläin/vuosi</t>
  </si>
  <si>
    <t>Ostotarve</t>
  </si>
  <si>
    <t>€/yks.</t>
  </si>
  <si>
    <t>€ yhteensä</t>
  </si>
  <si>
    <t xml:space="preserve">   - APR eläinten määrä</t>
  </si>
  <si>
    <t>Karitsointi</t>
  </si>
  <si>
    <t>Vieroitus</t>
  </si>
  <si>
    <t>Karitsoita / vuosi</t>
  </si>
  <si>
    <t>Karitsoita / kierto</t>
  </si>
  <si>
    <t>Erotus</t>
  </si>
  <si>
    <t>Vierotus II</t>
  </si>
  <si>
    <t>2-vaihekasvatus</t>
  </si>
  <si>
    <t>Vierotus</t>
  </si>
  <si>
    <t>Karitsointia/uuhi/vuosi</t>
  </si>
  <si>
    <t>Kivennäiset uuhet</t>
  </si>
  <si>
    <t>Kivennäiset karitsa</t>
  </si>
  <si>
    <t>kiertoa kohden</t>
  </si>
  <si>
    <t>Lisäkasvu
kg/pv</t>
  </si>
  <si>
    <t>Kotoiset- &amp; ostorehut yht.</t>
  </si>
  <si>
    <t>SIVUN
OHJE</t>
  </si>
  <si>
    <t>OHJE</t>
  </si>
  <si>
    <t>Kuivikkeiden osuus/eläinryhmä</t>
  </si>
  <si>
    <t>Kuivikkeiden käyttömäärät</t>
  </si>
  <si>
    <t>HUOM! Käy tässä vaiheessa lisäämässä "Lähtötiedot" sivulle</t>
  </si>
  <si>
    <t>kasvatukseen jäävien lihakaritsoiden määrä soluun G17, mikäli</t>
  </si>
  <si>
    <t>et ole tehnyt sitä jo alussa.</t>
  </si>
  <si>
    <t>Ohra-Kaura</t>
  </si>
  <si>
    <t>erotus nykytilanteeseen</t>
  </si>
  <si>
    <t>Karitsaa/uuhi/karitsointi</t>
  </si>
  <si>
    <t>Myyntikaritsa jalostus</t>
  </si>
  <si>
    <t>Myyntikaritsa liha</t>
  </si>
  <si>
    <t>Myyntikaritsat jalostus</t>
  </si>
  <si>
    <t>Myyntihinta /jalostuseläin</t>
  </si>
  <si>
    <t>Myynti kg</t>
  </si>
  <si>
    <t>€ / karitsa</t>
  </si>
  <si>
    <t>3.4a Laidunnus ja jaloittelu</t>
  </si>
  <si>
    <t>3.4b Pitkäaikainen laidunnus</t>
  </si>
  <si>
    <t>AIKUISTEN ELOPAINO</t>
  </si>
  <si>
    <t>MAX. KAPASITEETTI NYKYISELLÄ RUOKINNALLA</t>
  </si>
  <si>
    <t>MAX. KAPASITEETTI NYKYISELLÄ</t>
  </si>
  <si>
    <t>RUOKINNALLA &amp; TIHEÄLLÄ KARITSOINNILLA</t>
  </si>
  <si>
    <t xml:space="preserve">MAX. KAPASITEETTI NYKYISELLÄ </t>
  </si>
  <si>
    <t>RUOKINNALLA</t>
  </si>
  <si>
    <t>RUOKINNALLA &amp;TIHEÄLLÄ KARITSOINNILLA</t>
  </si>
  <si>
    <t>Karitsat</t>
  </si>
  <si>
    <t>Herne</t>
  </si>
  <si>
    <t>Herne-Kaura</t>
  </si>
  <si>
    <t>MAX. KAPASITEETTI NYKYISELLÄ RUOKINNALLA &amp; TIHEÄLLÄ KARITSOINNILLA</t>
  </si>
  <si>
    <t>MAX. KAPASITEETTI HUOMIOIDEN VAPAUTUVA TILA</t>
  </si>
  <si>
    <t>MAX. KAPASITEETTI HUOMIOIDEN VAPAUTUVA TILA &amp; TIHEÄ KARITSOINTI</t>
  </si>
  <si>
    <r>
      <t>MAX. KAPASITEETTI HUOMIOIDEN VAPAUTUVA TILA (</t>
    </r>
    <r>
      <rPr>
        <b/>
        <sz val="11"/>
        <color theme="0"/>
        <rFont val="Calibri"/>
        <family val="2"/>
        <scheme val="minor"/>
      </rPr>
      <t>hyvinvointikorvaus</t>
    </r>
    <r>
      <rPr>
        <sz val="11"/>
        <color theme="0"/>
        <rFont val="Calibri"/>
        <family val="2"/>
        <scheme val="minor"/>
      </rPr>
      <t>)</t>
    </r>
  </si>
  <si>
    <r>
      <t>MAX. KAPASITEETTI HUOMIOIDEN VAPAUTUVA TILA &amp; TIHEÄ KARITSOINTI (</t>
    </r>
    <r>
      <rPr>
        <b/>
        <sz val="11"/>
        <color theme="0"/>
        <rFont val="Calibri"/>
        <family val="2"/>
        <scheme val="minor"/>
      </rPr>
      <t>hyvinvointikorvaus</t>
    </r>
    <r>
      <rPr>
        <sz val="11"/>
        <color theme="0"/>
        <rFont val="Calibri"/>
        <family val="2"/>
        <scheme val="minor"/>
      </rPr>
      <t>)</t>
    </r>
  </si>
  <si>
    <t>Uuhi + uudistus</t>
  </si>
  <si>
    <t>Uuhi+uud.</t>
  </si>
  <si>
    <t>Liha</t>
  </si>
  <si>
    <t>Myynti</t>
  </si>
  <si>
    <t>Myyntikaritsa liha (eloon)</t>
  </si>
  <si>
    <t>MUUTTUVAT KUSTANNUKSET</t>
  </si>
  <si>
    <t>Pohjoinen uuhituki: C1</t>
  </si>
  <si>
    <t>Pohjoinen uuhituki: C2</t>
  </si>
  <si>
    <t>Pohjoinen uuhituki: C2p</t>
  </si>
  <si>
    <t>Pohjoinen uuhituki: C3 p1-p2</t>
  </si>
  <si>
    <t>Pohjoinen uuhituki: C3 p3-p4</t>
  </si>
  <si>
    <t>Pohjoinen uuhituki: C4 p4-p5</t>
  </si>
  <si>
    <t>Korko-%</t>
  </si>
  <si>
    <t>Liikepääoman määrä (60%)</t>
  </si>
  <si>
    <r>
      <t xml:space="preserve">Uuhipalkkio: </t>
    </r>
    <r>
      <rPr>
        <b/>
        <i/>
        <sz val="12"/>
        <color theme="0"/>
        <rFont val="Calibri"/>
        <family val="2"/>
        <scheme val="minor"/>
      </rPr>
      <t>AB-ulkosaaristo</t>
    </r>
  </si>
  <si>
    <r>
      <t xml:space="preserve">Uuhipalkkio: </t>
    </r>
    <r>
      <rPr>
        <b/>
        <i/>
        <sz val="12"/>
        <color theme="0"/>
        <rFont val="Calibri"/>
        <family val="2"/>
        <scheme val="minor"/>
      </rPr>
      <t>Manner-Ahvenanmaa</t>
    </r>
  </si>
  <si>
    <r>
      <t xml:space="preserve">Uuhipalkkio: </t>
    </r>
    <r>
      <rPr>
        <b/>
        <i/>
        <sz val="12"/>
        <color theme="0"/>
        <rFont val="Calibri"/>
        <family val="2"/>
        <scheme val="minor"/>
      </rPr>
      <t>Muu AB-alue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</si>
</sst>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sz val="9"/>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i/>
      <sz val="11"/>
      <color theme="1"/>
      <name val="Calibri"/>
      <family val="2"/>
      <scheme val="minor"/>
    </font>
    <font>
      <sz val="11"/>
      <color rgb="FFFF0000"/>
      <name val="Calibri"/>
      <family val="2"/>
      <scheme val="minor"/>
    </font>
    <font>
      <sz val="11"/>
      <name val="Calibri"/>
      <family val="2"/>
      <scheme val="minor"/>
    </font>
    <font>
      <sz val="11"/>
      <color theme="0" tint="-0.249977111117893"/>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0"/>
      <color theme="1"/>
      <name val="Arial"/>
      <family val="2"/>
    </font>
    <font>
      <b/>
      <sz val="18"/>
      <color theme="1"/>
      <name val="Calibri"/>
      <family val="2"/>
      <scheme val="minor"/>
    </font>
    <font>
      <b/>
      <sz val="20"/>
      <name val="Calibri"/>
      <family val="2"/>
      <scheme val="minor"/>
    </font>
    <font>
      <b/>
      <sz val="18"/>
      <name val="Arial"/>
      <family val="2"/>
    </font>
    <font>
      <b/>
      <sz val="20"/>
      <color theme="1"/>
      <name val="Calibri"/>
      <family val="2"/>
      <scheme val="minor"/>
    </font>
    <font>
      <sz val="26"/>
      <color theme="1"/>
      <name val="Calibri"/>
      <family val="2"/>
      <scheme val="minor"/>
    </font>
    <font>
      <sz val="24"/>
      <color theme="1"/>
      <name val="Calibri"/>
      <family val="2"/>
      <scheme val="minor"/>
    </font>
    <font>
      <b/>
      <sz val="48"/>
      <color theme="1"/>
      <name val="Calibri"/>
      <family val="2"/>
      <scheme val="minor"/>
    </font>
    <font>
      <sz val="36"/>
      <color theme="1"/>
      <name val="Calibri"/>
      <family val="2"/>
      <scheme val="minor"/>
    </font>
    <font>
      <sz val="48"/>
      <color theme="1"/>
      <name val="Calibri"/>
      <family val="2"/>
      <scheme val="minor"/>
    </font>
    <font>
      <b/>
      <sz val="16"/>
      <color theme="1"/>
      <name val="Calibri"/>
      <family val="2"/>
      <scheme val="minor"/>
    </font>
    <font>
      <b/>
      <sz val="22"/>
      <color theme="1"/>
      <name val="Calibri"/>
      <family val="2"/>
      <scheme val="minor"/>
    </font>
    <font>
      <sz val="16"/>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i/>
      <sz val="11"/>
      <color theme="1"/>
      <name val="Calibri"/>
      <family val="2"/>
      <scheme val="minor"/>
    </font>
    <font>
      <sz val="22"/>
      <name val="Calibri"/>
      <family val="2"/>
      <scheme val="minor"/>
    </font>
    <font>
      <sz val="22"/>
      <color theme="1"/>
      <name val="Calibri"/>
      <family val="2"/>
      <scheme val="minor"/>
    </font>
    <font>
      <sz val="11"/>
      <color rgb="FF92D050"/>
      <name val="Calibri"/>
      <family val="2"/>
      <scheme val="minor"/>
    </font>
    <font>
      <sz val="12"/>
      <color indexed="81"/>
      <name val="Tahoma"/>
      <family val="2"/>
    </font>
    <font>
      <b/>
      <sz val="12"/>
      <color indexed="81"/>
      <name val="Tahoma"/>
      <family val="2"/>
    </font>
    <font>
      <b/>
      <sz val="14"/>
      <name val="Calibri"/>
      <family val="2"/>
      <scheme val="minor"/>
    </font>
    <font>
      <i/>
      <sz val="12"/>
      <color indexed="81"/>
      <name val="Tahoma"/>
      <family val="2"/>
    </font>
    <font>
      <u/>
      <sz val="9"/>
      <color indexed="81"/>
      <name val="Tahoma"/>
      <family val="2"/>
    </font>
    <font>
      <sz val="8"/>
      <color theme="1"/>
      <name val="Calibri"/>
      <family val="2"/>
      <scheme val="minor"/>
    </font>
    <font>
      <b/>
      <sz val="11"/>
      <color theme="0"/>
      <name val="Calibri"/>
      <family val="2"/>
      <scheme val="minor"/>
    </font>
    <font>
      <sz val="11"/>
      <color theme="0"/>
      <name val="Calibri"/>
      <family val="2"/>
      <scheme val="minor"/>
    </font>
    <font>
      <b/>
      <sz val="10"/>
      <color indexed="81"/>
      <name val="Tahoma"/>
      <family val="2"/>
    </font>
    <font>
      <sz val="10"/>
      <color indexed="81"/>
      <name val="Tahoma"/>
      <family val="2"/>
    </font>
    <font>
      <sz val="12"/>
      <color theme="0"/>
      <name val="Calibri"/>
      <family val="2"/>
      <scheme val="minor"/>
    </font>
    <font>
      <b/>
      <i/>
      <sz val="12"/>
      <color theme="0"/>
      <name val="Calibri"/>
      <family val="2"/>
      <scheme val="minor"/>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bgColor indexed="64"/>
      </patternFill>
    </fill>
    <fill>
      <patternFill patternType="solid">
        <fgColor rgb="FFFFC000"/>
        <bgColor indexed="64"/>
      </patternFill>
    </fill>
  </fills>
  <borders count="31">
    <border>
      <left/>
      <right/>
      <top/>
      <bottom/>
      <diagonal/>
    </border>
    <border>
      <left/>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theme="0" tint="-0.499984740745262"/>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cellStyleXfs>
  <cellXfs count="555">
    <xf numFmtId="0" fontId="0" fillId="0" borderId="0" xfId="0"/>
    <xf numFmtId="0" fontId="0" fillId="2" borderId="0" xfId="0" applyFill="1" applyProtection="1"/>
    <xf numFmtId="0" fontId="0" fillId="2" borderId="0" xfId="0" applyFill="1" applyBorder="1" applyProtection="1"/>
    <xf numFmtId="0" fontId="0" fillId="2" borderId="0" xfId="0" applyFill="1" applyAlignment="1" applyProtection="1">
      <alignment horizontal="center"/>
    </xf>
    <xf numFmtId="0" fontId="3" fillId="2" borderId="0" xfId="0" applyFont="1" applyFill="1" applyBorder="1" applyAlignment="1" applyProtection="1">
      <alignment horizontal="center"/>
    </xf>
    <xf numFmtId="0" fontId="0" fillId="2" borderId="1" xfId="0" applyFill="1" applyBorder="1" applyAlignment="1" applyProtection="1">
      <alignment horizontal="center"/>
    </xf>
    <xf numFmtId="0" fontId="3" fillId="2" borderId="1" xfId="0" applyFont="1" applyFill="1" applyBorder="1" applyAlignment="1" applyProtection="1">
      <alignment horizontal="center"/>
    </xf>
    <xf numFmtId="0" fontId="3" fillId="2" borderId="0" xfId="0" applyFont="1" applyFill="1" applyAlignment="1" applyProtection="1">
      <alignment horizontal="center"/>
    </xf>
    <xf numFmtId="3" fontId="0" fillId="3" borderId="3" xfId="0" applyNumberFormat="1" applyFill="1" applyBorder="1" applyAlignment="1" applyProtection="1">
      <alignment horizontal="center"/>
    </xf>
    <xf numFmtId="0" fontId="0" fillId="0" borderId="0" xfId="0" applyProtection="1"/>
    <xf numFmtId="0" fontId="0" fillId="0" borderId="0" xfId="0" applyAlignment="1" applyProtection="1">
      <alignment horizontal="center"/>
    </xf>
    <xf numFmtId="0" fontId="4" fillId="2" borderId="0" xfId="0" applyFont="1" applyFill="1" applyAlignment="1" applyProtection="1">
      <alignment horizontal="center"/>
    </xf>
    <xf numFmtId="164" fontId="0" fillId="2" borderId="0" xfId="0" applyNumberFormat="1" applyFill="1" applyBorder="1" applyAlignment="1" applyProtection="1">
      <alignment horizontal="center"/>
    </xf>
    <xf numFmtId="0" fontId="0" fillId="2" borderId="0" xfId="0" applyFill="1" applyBorder="1" applyAlignment="1" applyProtection="1">
      <alignment horizontal="center"/>
    </xf>
    <xf numFmtId="0" fontId="0" fillId="3" borderId="2" xfId="0" applyFill="1" applyBorder="1" applyProtection="1"/>
    <xf numFmtId="165" fontId="0" fillId="3" borderId="3" xfId="0" applyNumberFormat="1" applyFill="1" applyBorder="1" applyAlignment="1" applyProtection="1">
      <alignment horizontal="center"/>
    </xf>
    <xf numFmtId="1" fontId="0" fillId="3" borderId="3" xfId="0" applyNumberFormat="1" applyFill="1" applyBorder="1" applyAlignment="1" applyProtection="1">
      <alignment horizontal="center"/>
    </xf>
    <xf numFmtId="0" fontId="0" fillId="3" borderId="0" xfId="0" applyFill="1" applyProtection="1"/>
    <xf numFmtId="0" fontId="0" fillId="3" borderId="0" xfId="0" applyFill="1" applyBorder="1" applyProtection="1"/>
    <xf numFmtId="0" fontId="0" fillId="3" borderId="0" xfId="0" applyFill="1" applyAlignment="1" applyProtection="1">
      <alignment horizontal="center"/>
    </xf>
    <xf numFmtId="0" fontId="3" fillId="3" borderId="0" xfId="0" applyFont="1" applyFill="1" applyAlignment="1" applyProtection="1">
      <alignment horizontal="center"/>
    </xf>
    <xf numFmtId="3" fontId="0" fillId="3" borderId="4" xfId="0" applyNumberFormat="1" applyFill="1" applyBorder="1" applyAlignment="1" applyProtection="1">
      <alignment horizontal="center"/>
    </xf>
    <xf numFmtId="0" fontId="0" fillId="4" borderId="1" xfId="0" applyFill="1" applyBorder="1" applyAlignment="1" applyProtection="1">
      <alignment horizontal="center"/>
    </xf>
    <xf numFmtId="0" fontId="3" fillId="2" borderId="0" xfId="0" applyFont="1" applyFill="1" applyAlignment="1" applyProtection="1">
      <alignment horizontal="right"/>
    </xf>
    <xf numFmtId="0" fontId="4" fillId="2" borderId="0" xfId="0" applyFont="1" applyFill="1" applyBorder="1" applyAlignment="1" applyProtection="1">
      <alignment horizontal="right"/>
    </xf>
    <xf numFmtId="0" fontId="3" fillId="2" borderId="0" xfId="0" applyFont="1" applyFill="1" applyBorder="1" applyAlignment="1" applyProtection="1">
      <alignment horizontal="left"/>
    </xf>
    <xf numFmtId="0" fontId="3" fillId="2" borderId="0" xfId="0" applyFont="1" applyFill="1" applyAlignment="1" applyProtection="1">
      <alignment horizontal="left"/>
    </xf>
    <xf numFmtId="0" fontId="4" fillId="3" borderId="0" xfId="0" applyFont="1" applyFill="1" applyBorder="1" applyAlignment="1" applyProtection="1">
      <alignment horizontal="right"/>
    </xf>
    <xf numFmtId="0" fontId="0" fillId="0" borderId="0" xfId="0"/>
    <xf numFmtId="0" fontId="4" fillId="2" borderId="0" xfId="0" applyFont="1" applyFill="1" applyBorder="1" applyAlignment="1" applyProtection="1"/>
    <xf numFmtId="0" fontId="0" fillId="2" borderId="0" xfId="0" applyFill="1" applyBorder="1" applyAlignment="1" applyProtection="1"/>
    <xf numFmtId="9" fontId="6" fillId="3" borderId="3" xfId="1" applyFont="1" applyFill="1" applyBorder="1" applyAlignment="1" applyProtection="1">
      <alignment horizontal="center"/>
    </xf>
    <xf numFmtId="0" fontId="2" fillId="0" borderId="0" xfId="0" applyFont="1"/>
    <xf numFmtId="0" fontId="4" fillId="2" borderId="0" xfId="0" applyFont="1" applyFill="1" applyProtection="1"/>
    <xf numFmtId="0" fontId="4" fillId="2" borderId="0" xfId="0" applyFont="1" applyFill="1" applyBorder="1" applyProtection="1"/>
    <xf numFmtId="0" fontId="11" fillId="0" borderId="0" xfId="0" applyFont="1"/>
    <xf numFmtId="0" fontId="0" fillId="0" borderId="0" xfId="0"/>
    <xf numFmtId="0" fontId="0" fillId="0" borderId="0" xfId="0"/>
    <xf numFmtId="10" fontId="0" fillId="0" borderId="0" xfId="0" applyNumberFormat="1"/>
    <xf numFmtId="1" fontId="0" fillId="0" borderId="0" xfId="0" applyNumberFormat="1"/>
    <xf numFmtId="0" fontId="0" fillId="0" borderId="0" xfId="0"/>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0" fillId="0" borderId="10" xfId="0" applyBorder="1"/>
    <xf numFmtId="0" fontId="0" fillId="0" borderId="0" xfId="0" applyBorder="1" applyAlignment="1">
      <alignment wrapText="1"/>
    </xf>
    <xf numFmtId="164" fontId="0" fillId="0" borderId="0" xfId="0" applyNumberFormat="1" applyBorder="1"/>
    <xf numFmtId="164" fontId="0" fillId="0" borderId="10" xfId="0" applyNumberFormat="1" applyBorder="1"/>
    <xf numFmtId="0" fontId="12" fillId="0" borderId="0" xfId="0" applyFont="1"/>
    <xf numFmtId="0" fontId="0" fillId="0" borderId="0" xfId="0"/>
    <xf numFmtId="0" fontId="0" fillId="0" borderId="1" xfId="0" applyBorder="1"/>
    <xf numFmtId="0" fontId="0" fillId="0" borderId="11" xfId="0" applyBorder="1"/>
    <xf numFmtId="0" fontId="0" fillId="0" borderId="0" xfId="0"/>
    <xf numFmtId="0" fontId="2" fillId="0" borderId="0" xfId="0" applyFont="1"/>
    <xf numFmtId="0" fontId="0" fillId="0" borderId="0" xfId="0"/>
    <xf numFmtId="0" fontId="0" fillId="0" borderId="0" xfId="0"/>
    <xf numFmtId="0" fontId="0" fillId="0" borderId="12" xfId="0" applyBorder="1"/>
    <xf numFmtId="0" fontId="0" fillId="0" borderId="13" xfId="0" applyBorder="1"/>
    <xf numFmtId="0" fontId="0" fillId="0" borderId="14" xfId="0" applyBorder="1"/>
    <xf numFmtId="0" fontId="0" fillId="0" borderId="15" xfId="0" applyBorder="1"/>
    <xf numFmtId="2" fontId="0" fillId="0" borderId="0" xfId="0" applyNumberFormat="1" applyBorder="1"/>
    <xf numFmtId="0" fontId="0" fillId="0" borderId="16" xfId="0" applyBorder="1"/>
    <xf numFmtId="0" fontId="0" fillId="0" borderId="17" xfId="0" applyBorder="1"/>
    <xf numFmtId="0" fontId="0" fillId="8" borderId="13" xfId="0" applyFill="1" applyBorder="1"/>
    <xf numFmtId="0" fontId="0" fillId="8" borderId="14" xfId="0" applyFill="1" applyBorder="1"/>
    <xf numFmtId="0" fontId="0" fillId="8" borderId="1" xfId="0" applyFill="1" applyBorder="1"/>
    <xf numFmtId="0" fontId="0" fillId="8" borderId="17" xfId="0" applyFill="1" applyBorder="1"/>
    <xf numFmtId="0" fontId="0" fillId="8" borderId="3" xfId="0" applyFill="1" applyBorder="1"/>
    <xf numFmtId="0" fontId="0" fillId="8" borderId="18" xfId="0" applyFill="1" applyBorder="1"/>
    <xf numFmtId="0" fontId="0" fillId="8" borderId="16" xfId="0" applyFill="1" applyBorder="1"/>
    <xf numFmtId="0" fontId="0" fillId="7" borderId="21" xfId="0" applyFill="1" applyBorder="1" applyAlignment="1">
      <alignment horizontal="center"/>
    </xf>
    <xf numFmtId="0" fontId="0" fillId="7" borderId="18" xfId="0" applyFill="1" applyBorder="1" applyAlignment="1">
      <alignment horizontal="center"/>
    </xf>
    <xf numFmtId="0" fontId="0" fillId="7" borderId="5" xfId="0" applyFill="1" applyBorder="1" applyAlignment="1">
      <alignment horizontal="center"/>
    </xf>
    <xf numFmtId="2" fontId="0" fillId="0" borderId="15" xfId="0" applyNumberFormat="1" applyBorder="1"/>
    <xf numFmtId="164" fontId="0" fillId="0" borderId="15" xfId="0" applyNumberFormat="1" applyBorder="1"/>
    <xf numFmtId="164" fontId="0" fillId="0" borderId="11" xfId="0" applyNumberFormat="1" applyBorder="1"/>
    <xf numFmtId="0" fontId="2" fillId="8" borderId="12" xfId="0" applyFont="1" applyFill="1" applyBorder="1"/>
    <xf numFmtId="0" fontId="0" fillId="0" borderId="0" xfId="0"/>
    <xf numFmtId="0" fontId="0" fillId="7" borderId="19" xfId="0" applyFill="1" applyBorder="1"/>
    <xf numFmtId="0" fontId="0" fillId="7" borderId="22" xfId="0" applyFill="1" applyBorder="1"/>
    <xf numFmtId="0" fontId="0" fillId="7" borderId="20" xfId="0" applyFill="1" applyBorder="1"/>
    <xf numFmtId="0" fontId="0" fillId="7" borderId="18" xfId="0" applyFill="1" applyBorder="1"/>
    <xf numFmtId="0" fontId="0" fillId="7" borderId="21" xfId="0" applyFill="1" applyBorder="1"/>
    <xf numFmtId="0" fontId="0" fillId="7" borderId="5" xfId="0" applyFill="1" applyBorder="1"/>
    <xf numFmtId="1" fontId="0" fillId="0" borderId="12" xfId="0" applyNumberFormat="1" applyBorder="1"/>
    <xf numFmtId="164" fontId="0" fillId="0" borderId="13" xfId="0" applyNumberFormat="1" applyBorder="1"/>
    <xf numFmtId="1" fontId="0" fillId="0" borderId="15" xfId="0" applyNumberFormat="1" applyBorder="1"/>
    <xf numFmtId="0" fontId="0" fillId="7" borderId="3" xfId="0" applyFill="1" applyBorder="1"/>
    <xf numFmtId="10" fontId="0" fillId="0" borderId="3" xfId="0" applyNumberFormat="1" applyBorder="1"/>
    <xf numFmtId="0" fontId="0" fillId="0" borderId="3" xfId="0" applyBorder="1"/>
    <xf numFmtId="1" fontId="0" fillId="0" borderId="3" xfId="0" applyNumberFormat="1" applyBorder="1"/>
    <xf numFmtId="0" fontId="0" fillId="7" borderId="3" xfId="0" applyFill="1" applyBorder="1" applyAlignment="1">
      <alignment horizontal="left"/>
    </xf>
    <xf numFmtId="0" fontId="0" fillId="7" borderId="1" xfId="0" applyFill="1" applyBorder="1"/>
    <xf numFmtId="0" fontId="0" fillId="0" borderId="0" xfId="0"/>
    <xf numFmtId="0" fontId="2" fillId="0" borderId="0" xfId="0" applyFont="1"/>
    <xf numFmtId="0" fontId="0" fillId="0" borderId="0" xfId="0"/>
    <xf numFmtId="0" fontId="0" fillId="0" borderId="23" xfId="0" applyBorder="1"/>
    <xf numFmtId="0" fontId="2" fillId="0" borderId="0" xfId="0" applyFont="1" applyAlignment="1"/>
    <xf numFmtId="0" fontId="2" fillId="0" borderId="3" xfId="0" applyFont="1" applyBorder="1"/>
    <xf numFmtId="9" fontId="2" fillId="0" borderId="3" xfId="0" applyNumberFormat="1" applyFont="1" applyBorder="1"/>
    <xf numFmtId="0" fontId="0" fillId="0" borderId="0" xfId="0"/>
    <xf numFmtId="0" fontId="2" fillId="0" borderId="0" xfId="0" applyFont="1"/>
    <xf numFmtId="1" fontId="2" fillId="0" borderId="16" xfId="0" applyNumberFormat="1" applyFont="1" applyBorder="1"/>
    <xf numFmtId="0" fontId="14" fillId="0" borderId="0" xfId="0" applyFont="1" applyBorder="1"/>
    <xf numFmtId="0" fontId="0" fillId="0" borderId="24" xfId="0" applyBorder="1"/>
    <xf numFmtId="0" fontId="0" fillId="0" borderId="25" xfId="0" applyBorder="1"/>
    <xf numFmtId="0" fontId="2" fillId="0" borderId="0" xfId="0" applyFont="1"/>
    <xf numFmtId="0" fontId="0" fillId="0" borderId="0" xfId="0"/>
    <xf numFmtId="0" fontId="2" fillId="6" borderId="3" xfId="0" applyFont="1" applyFill="1" applyBorder="1"/>
    <xf numFmtId="1" fontId="2" fillId="0" borderId="3" xfId="0" applyNumberFormat="1" applyFont="1" applyBorder="1"/>
    <xf numFmtId="0" fontId="0" fillId="5" borderId="18" xfId="0" applyFill="1" applyBorder="1"/>
    <xf numFmtId="164" fontId="0" fillId="0" borderId="3" xfId="0" applyNumberFormat="1" applyBorder="1"/>
    <xf numFmtId="164" fontId="2" fillId="0" borderId="3" xfId="0" applyNumberFormat="1" applyFont="1" applyBorder="1"/>
    <xf numFmtId="1" fontId="0" fillId="0" borderId="21" xfId="0" applyNumberFormat="1" applyBorder="1"/>
    <xf numFmtId="0" fontId="0" fillId="9" borderId="3" xfId="0" applyFill="1" applyBorder="1"/>
    <xf numFmtId="0" fontId="0" fillId="0" borderId="0" xfId="0"/>
    <xf numFmtId="164" fontId="0" fillId="0" borderId="14" xfId="0" applyNumberFormat="1" applyBorder="1"/>
    <xf numFmtId="164" fontId="2" fillId="0" borderId="17" xfId="0" applyNumberFormat="1" applyFont="1" applyBorder="1"/>
    <xf numFmtId="0" fontId="0" fillId="5" borderId="3" xfId="0" applyFill="1" applyBorder="1"/>
    <xf numFmtId="0" fontId="0" fillId="0" borderId="0" xfId="0"/>
    <xf numFmtId="0" fontId="0" fillId="0" borderId="0" xfId="0"/>
    <xf numFmtId="0" fontId="0" fillId="5" borderId="21" xfId="0" applyFill="1" applyBorder="1"/>
    <xf numFmtId="0" fontId="0" fillId="5" borderId="5" xfId="0" applyFill="1" applyBorder="1"/>
    <xf numFmtId="0" fontId="0" fillId="0" borderId="20" xfId="0" applyBorder="1"/>
    <xf numFmtId="1" fontId="0" fillId="0" borderId="20" xfId="0" applyNumberFormat="1" applyBorder="1"/>
    <xf numFmtId="1" fontId="2" fillId="0" borderId="27" xfId="0" applyNumberFormat="1" applyFont="1" applyBorder="1"/>
    <xf numFmtId="0" fontId="2" fillId="5" borderId="26" xfId="0" applyFont="1" applyFill="1" applyBorder="1"/>
    <xf numFmtId="1" fontId="2" fillId="10" borderId="3" xfId="0" applyNumberFormat="1" applyFont="1" applyFill="1" applyBorder="1"/>
    <xf numFmtId="0" fontId="17" fillId="0" borderId="0" xfId="0" applyFont="1" applyAlignment="1"/>
    <xf numFmtId="0" fontId="0" fillId="0" borderId="0" xfId="0" applyBorder="1"/>
    <xf numFmtId="0" fontId="19" fillId="0" borderId="0" xfId="0" applyFont="1" applyBorder="1" applyAlignment="1">
      <alignment horizontal="right"/>
    </xf>
    <xf numFmtId="0" fontId="0" fillId="5" borderId="3" xfId="0" applyFill="1" applyBorder="1"/>
    <xf numFmtId="1" fontId="2" fillId="0" borderId="27" xfId="0" applyNumberFormat="1" applyFont="1" applyBorder="1"/>
    <xf numFmtId="1" fontId="0" fillId="0" borderId="3" xfId="0" applyNumberFormat="1" applyBorder="1"/>
    <xf numFmtId="1" fontId="2" fillId="0" borderId="21" xfId="0" applyNumberFormat="1" applyFont="1" applyBorder="1"/>
    <xf numFmtId="1" fontId="0" fillId="0" borderId="3" xfId="0" applyNumberFormat="1" applyBorder="1"/>
    <xf numFmtId="1" fontId="2" fillId="0" borderId="3" xfId="0" applyNumberFormat="1" applyFont="1" applyBorder="1"/>
    <xf numFmtId="0" fontId="21" fillId="2" borderId="0" xfId="0" applyFont="1" applyFill="1" applyAlignment="1" applyProtection="1">
      <alignment horizontal="right"/>
    </xf>
    <xf numFmtId="0" fontId="0" fillId="0" borderId="18" xfId="0" applyBorder="1"/>
    <xf numFmtId="164" fontId="0" fillId="0" borderId="18" xfId="0" applyNumberFormat="1" applyBorder="1"/>
    <xf numFmtId="1" fontId="0" fillId="0" borderId="18" xfId="0" applyNumberFormat="1" applyBorder="1"/>
    <xf numFmtId="1" fontId="0" fillId="0" borderId="13" xfId="0" applyNumberFormat="1" applyBorder="1"/>
    <xf numFmtId="0" fontId="13" fillId="0" borderId="24" xfId="0" applyFont="1" applyBorder="1"/>
    <xf numFmtId="0" fontId="13" fillId="0" borderId="25" xfId="0" applyFont="1" applyBorder="1"/>
    <xf numFmtId="1" fontId="0" fillId="0" borderId="3" xfId="0" applyNumberFormat="1" applyBorder="1"/>
    <xf numFmtId="1" fontId="2" fillId="0" borderId="3" xfId="0" applyNumberFormat="1" applyFont="1" applyBorder="1"/>
    <xf numFmtId="1" fontId="2" fillId="0" borderId="5" xfId="0" applyNumberFormat="1" applyFont="1" applyBorder="1"/>
    <xf numFmtId="1" fontId="0" fillId="0" borderId="3" xfId="0" applyNumberFormat="1" applyBorder="1"/>
    <xf numFmtId="1" fontId="2" fillId="0" borderId="3" xfId="0" applyNumberFormat="1" applyFont="1" applyBorder="1"/>
    <xf numFmtId="0" fontId="2" fillId="0" borderId="0" xfId="0" applyFont="1" applyAlignment="1">
      <alignment horizontal="left"/>
    </xf>
    <xf numFmtId="1" fontId="0" fillId="0" borderId="3" xfId="0" applyNumberFormat="1" applyBorder="1"/>
    <xf numFmtId="1" fontId="2" fillId="0" borderId="3" xfId="0" applyNumberFormat="1" applyFont="1" applyBorder="1"/>
    <xf numFmtId="0" fontId="2" fillId="0" borderId="13" xfId="0" applyFont="1" applyBorder="1" applyAlignment="1">
      <alignment horizontal="right"/>
    </xf>
    <xf numFmtId="2" fontId="0" fillId="0" borderId="13" xfId="0" applyNumberFormat="1" applyBorder="1"/>
    <xf numFmtId="0" fontId="0" fillId="7" borderId="13" xfId="0" applyFill="1" applyBorder="1"/>
    <xf numFmtId="0" fontId="0" fillId="7" borderId="3" xfId="0" applyFill="1" applyBorder="1" applyAlignment="1">
      <alignment horizontal="right"/>
    </xf>
    <xf numFmtId="0" fontId="2" fillId="0" borderId="13" xfId="0" applyFont="1" applyBorder="1" applyAlignment="1"/>
    <xf numFmtId="0" fontId="2" fillId="0" borderId="0" xfId="0" applyFont="1" applyBorder="1" applyAlignment="1">
      <alignment horizontal="right"/>
    </xf>
    <xf numFmtId="0" fontId="0" fillId="5" borderId="3" xfId="0" applyFill="1" applyBorder="1"/>
    <xf numFmtId="1" fontId="0" fillId="0" borderId="3" xfId="0" applyNumberFormat="1" applyBorder="1"/>
    <xf numFmtId="1" fontId="2" fillId="0" borderId="3" xfId="0" applyNumberFormat="1" applyFont="1" applyBorder="1"/>
    <xf numFmtId="1" fontId="2" fillId="0" borderId="27" xfId="0" applyNumberFormat="1" applyFont="1" applyBorder="1"/>
    <xf numFmtId="1" fontId="0" fillId="0" borderId="3" xfId="0" applyNumberFormat="1" applyBorder="1"/>
    <xf numFmtId="2" fontId="0" fillId="0" borderId="3" xfId="0" applyNumberFormat="1" applyBorder="1"/>
    <xf numFmtId="1" fontId="0" fillId="0" borderId="3" xfId="0" applyNumberFormat="1" applyBorder="1"/>
    <xf numFmtId="1" fontId="2" fillId="0" borderId="3" xfId="0" applyNumberFormat="1" applyFont="1" applyBorder="1"/>
    <xf numFmtId="2" fontId="0" fillId="0" borderId="0" xfId="0" applyNumberFormat="1"/>
    <xf numFmtId="0" fontId="24" fillId="0" borderId="0" xfId="0" applyFont="1" applyAlignment="1">
      <alignment horizontal="center"/>
    </xf>
    <xf numFmtId="1" fontId="0" fillId="0" borderId="3" xfId="0" applyNumberFormat="1" applyBorder="1"/>
    <xf numFmtId="0" fontId="0" fillId="8" borderId="3" xfId="0" applyFill="1" applyBorder="1" applyAlignment="1">
      <alignment horizontal="center"/>
    </xf>
    <xf numFmtId="1" fontId="0" fillId="0" borderId="3" xfId="0" applyNumberFormat="1" applyBorder="1"/>
    <xf numFmtId="0" fontId="0" fillId="8" borderId="3" xfId="0" applyFill="1" applyBorder="1"/>
    <xf numFmtId="0" fontId="0" fillId="7" borderId="29" xfId="0" applyFill="1" applyBorder="1"/>
    <xf numFmtId="0" fontId="0" fillId="9" borderId="3" xfId="0" applyFill="1" applyBorder="1" applyAlignment="1">
      <alignment horizontal="center"/>
    </xf>
    <xf numFmtId="166" fontId="0" fillId="0" borderId="21" xfId="0" applyNumberFormat="1" applyBorder="1"/>
    <xf numFmtId="166" fontId="0" fillId="0" borderId="5" xfId="0" applyNumberFormat="1" applyBorder="1"/>
    <xf numFmtId="1" fontId="2" fillId="0" borderId="3" xfId="0" applyNumberFormat="1" applyFont="1" applyBorder="1"/>
    <xf numFmtId="0" fontId="2" fillId="0" borderId="0" xfId="0" applyFont="1" applyAlignment="1">
      <alignment horizontal="right"/>
    </xf>
    <xf numFmtId="1" fontId="0" fillId="0" borderId="3" xfId="0" applyNumberFormat="1" applyBorder="1"/>
    <xf numFmtId="0" fontId="2" fillId="0" borderId="0" xfId="0" applyFont="1"/>
    <xf numFmtId="1" fontId="0" fillId="0" borderId="3" xfId="0" applyNumberFormat="1" applyBorder="1"/>
    <xf numFmtId="0" fontId="0" fillId="0" borderId="0" xfId="0" applyFont="1"/>
    <xf numFmtId="0" fontId="0" fillId="7" borderId="3" xfId="0" applyFont="1" applyFill="1" applyBorder="1"/>
    <xf numFmtId="0" fontId="0" fillId="7" borderId="3" xfId="0" applyFont="1" applyFill="1" applyBorder="1" applyAlignment="1">
      <alignment wrapText="1"/>
    </xf>
    <xf numFmtId="0" fontId="0" fillId="7" borderId="18" xfId="0" applyFill="1" applyBorder="1" applyAlignment="1">
      <alignment wrapText="1"/>
    </xf>
    <xf numFmtId="0" fontId="0" fillId="7" borderId="3" xfId="0" applyFill="1" applyBorder="1" applyAlignment="1">
      <alignment wrapText="1"/>
    </xf>
    <xf numFmtId="0" fontId="15" fillId="7" borderId="3" xfId="0" applyFont="1" applyFill="1" applyBorder="1" applyAlignment="1">
      <alignment wrapText="1"/>
    </xf>
    <xf numFmtId="0" fontId="2" fillId="7" borderId="3" xfId="0" applyFont="1" applyFill="1" applyBorder="1"/>
    <xf numFmtId="0" fontId="2" fillId="0" borderId="0" xfId="0" applyFont="1"/>
    <xf numFmtId="0" fontId="24" fillId="0" borderId="0" xfId="0" applyFont="1"/>
    <xf numFmtId="0" fontId="2" fillId="0" borderId="0" xfId="0" applyFont="1"/>
    <xf numFmtId="0" fontId="24" fillId="0" borderId="0" xfId="0" applyFont="1" applyAlignment="1">
      <alignment horizontal="center"/>
    </xf>
    <xf numFmtId="1" fontId="0" fillId="0" borderId="3" xfId="0" applyNumberFormat="1" applyBorder="1"/>
    <xf numFmtId="1" fontId="2" fillId="0" borderId="3" xfId="0" applyNumberFormat="1" applyFont="1" applyBorder="1"/>
    <xf numFmtId="166" fontId="0" fillId="0" borderId="0" xfId="0" applyNumberFormat="1" applyAlignment="1">
      <alignment horizontal="right"/>
    </xf>
    <xf numFmtId="1" fontId="0" fillId="0" borderId="3" xfId="0" applyNumberFormat="1" applyBorder="1"/>
    <xf numFmtId="0" fontId="24" fillId="0" borderId="0" xfId="0" applyFont="1" applyAlignment="1"/>
    <xf numFmtId="164" fontId="2" fillId="0" borderId="16" xfId="0" applyNumberFormat="1" applyFont="1" applyBorder="1"/>
    <xf numFmtId="0" fontId="2" fillId="0" borderId="17" xfId="0" applyFont="1" applyBorder="1"/>
    <xf numFmtId="1" fontId="0" fillId="0" borderId="3" xfId="0" applyNumberFormat="1" applyBorder="1"/>
    <xf numFmtId="0" fontId="0" fillId="7" borderId="3" xfId="0" applyFill="1" applyBorder="1"/>
    <xf numFmtId="0" fontId="2" fillId="0" borderId="0" xfId="0" applyFont="1"/>
    <xf numFmtId="164" fontId="0" fillId="0" borderId="17" xfId="0" applyNumberFormat="1" applyBorder="1"/>
    <xf numFmtId="0" fontId="0" fillId="7" borderId="3" xfId="0" applyFill="1" applyBorder="1" applyAlignment="1"/>
    <xf numFmtId="164" fontId="0" fillId="0" borderId="21" xfId="0" applyNumberFormat="1" applyBorder="1"/>
    <xf numFmtId="164" fontId="0" fillId="0" borderId="1" xfId="0" applyNumberFormat="1" applyBorder="1"/>
    <xf numFmtId="1" fontId="0" fillId="0" borderId="3" xfId="0" applyNumberFormat="1" applyBorder="1"/>
    <xf numFmtId="0" fontId="0" fillId="7" borderId="3" xfId="0" applyFill="1" applyBorder="1"/>
    <xf numFmtId="0" fontId="2" fillId="7" borderId="3" xfId="0" applyFont="1" applyFill="1" applyBorder="1"/>
    <xf numFmtId="0" fontId="2" fillId="0" borderId="0" xfId="0" applyFont="1"/>
    <xf numFmtId="0" fontId="31" fillId="0" borderId="0" xfId="0" applyFont="1"/>
    <xf numFmtId="0" fontId="32" fillId="0" borderId="0" xfId="0" applyFont="1"/>
    <xf numFmtId="0" fontId="33" fillId="0" borderId="0" xfId="0" applyFont="1"/>
    <xf numFmtId="0" fontId="34" fillId="0" borderId="0" xfId="0" applyFont="1"/>
    <xf numFmtId="0" fontId="0" fillId="11" borderId="2" xfId="0" applyFill="1" applyBorder="1" applyProtection="1">
      <protection locked="0"/>
    </xf>
    <xf numFmtId="164" fontId="0" fillId="11" borderId="3" xfId="0" applyNumberFormat="1" applyFill="1" applyBorder="1" applyAlignment="1" applyProtection="1">
      <alignment horizontal="center"/>
      <protection locked="0"/>
    </xf>
    <xf numFmtId="1" fontId="0" fillId="11" borderId="3" xfId="0" applyNumberFormat="1" applyFill="1" applyBorder="1" applyAlignment="1" applyProtection="1">
      <alignment horizontal="center"/>
      <protection locked="0"/>
    </xf>
    <xf numFmtId="0" fontId="3" fillId="11" borderId="2" xfId="0" applyFont="1" applyFill="1" applyBorder="1" applyProtection="1">
      <protection locked="0"/>
    </xf>
    <xf numFmtId="3" fontId="0" fillId="11" borderId="3" xfId="0" applyNumberFormat="1" applyFill="1" applyBorder="1" applyAlignment="1" applyProtection="1">
      <alignment horizontal="center"/>
      <protection locked="0"/>
    </xf>
    <xf numFmtId="1" fontId="0" fillId="11" borderId="5" xfId="0" applyNumberFormat="1" applyFill="1" applyBorder="1" applyAlignment="1" applyProtection="1">
      <alignment horizontal="center"/>
      <protection locked="0"/>
    </xf>
    <xf numFmtId="0" fontId="18" fillId="11" borderId="2" xfId="0" applyFont="1" applyFill="1" applyBorder="1" applyProtection="1">
      <protection locked="0"/>
    </xf>
    <xf numFmtId="1" fontId="0" fillId="11" borderId="0" xfId="0" applyNumberFormat="1" applyFill="1" applyBorder="1" applyAlignment="1" applyProtection="1">
      <alignment horizontal="center"/>
      <protection locked="0"/>
    </xf>
    <xf numFmtId="3" fontId="0" fillId="3" borderId="3" xfId="0" applyNumberFormat="1" applyFill="1" applyBorder="1" applyAlignment="1" applyProtection="1">
      <alignment horizontal="center"/>
      <protection locked="0"/>
    </xf>
    <xf numFmtId="0" fontId="0" fillId="3" borderId="2" xfId="0" applyFill="1" applyBorder="1" applyProtection="1">
      <protection locked="0"/>
    </xf>
    <xf numFmtId="164" fontId="0" fillId="3" borderId="3" xfId="0" applyNumberFormat="1" applyFill="1" applyBorder="1" applyAlignment="1" applyProtection="1">
      <alignment horizontal="center"/>
      <protection locked="0"/>
    </xf>
    <xf numFmtId="1" fontId="0" fillId="3" borderId="3" xfId="0" applyNumberFormat="1" applyFill="1" applyBorder="1" applyAlignment="1" applyProtection="1">
      <alignment horizontal="center"/>
      <protection locked="0"/>
    </xf>
    <xf numFmtId="0" fontId="3" fillId="3" borderId="2" xfId="0" applyFont="1" applyFill="1" applyBorder="1" applyProtection="1">
      <protection locked="0"/>
    </xf>
    <xf numFmtId="1" fontId="0" fillId="3" borderId="5" xfId="0" applyNumberFormat="1" applyFill="1" applyBorder="1" applyAlignment="1" applyProtection="1">
      <alignment horizontal="center"/>
      <protection locked="0"/>
    </xf>
    <xf numFmtId="0" fontId="0" fillId="3" borderId="0" xfId="0" applyFill="1" applyBorder="1" applyProtection="1">
      <protection locked="0"/>
    </xf>
    <xf numFmtId="0" fontId="0" fillId="7" borderId="3" xfId="0" applyFill="1" applyBorder="1" applyAlignment="1">
      <alignment horizontal="center"/>
    </xf>
    <xf numFmtId="0" fontId="0" fillId="3" borderId="3" xfId="0" applyFill="1" applyBorder="1"/>
    <xf numFmtId="0" fontId="0" fillId="3" borderId="0" xfId="0" applyFill="1"/>
    <xf numFmtId="0" fontId="0" fillId="3" borderId="0" xfId="0" applyFill="1" applyBorder="1" applyAlignment="1" applyProtection="1">
      <alignment horizontal="center"/>
    </xf>
    <xf numFmtId="164" fontId="0" fillId="3" borderId="0" xfId="0" applyNumberFormat="1" applyFill="1" applyBorder="1" applyAlignment="1" applyProtection="1">
      <alignment horizontal="center"/>
    </xf>
    <xf numFmtId="0" fontId="4" fillId="3" borderId="0" xfId="0" applyFont="1" applyFill="1" applyAlignment="1" applyProtection="1">
      <alignment horizontal="center"/>
    </xf>
    <xf numFmtId="0" fontId="0" fillId="3" borderId="1" xfId="0" applyFill="1" applyBorder="1" applyAlignment="1" applyProtection="1">
      <alignment horizontal="center"/>
    </xf>
    <xf numFmtId="0" fontId="3" fillId="3" borderId="1" xfId="0" applyFont="1" applyFill="1" applyBorder="1" applyAlignment="1" applyProtection="1">
      <alignment horizontal="center"/>
    </xf>
    <xf numFmtId="0" fontId="3" fillId="3" borderId="0" xfId="0" applyFont="1" applyFill="1" applyAlignment="1" applyProtection="1">
      <alignment horizontal="right"/>
    </xf>
    <xf numFmtId="0" fontId="3" fillId="3" borderId="0" xfId="0" applyFont="1" applyFill="1" applyBorder="1" applyAlignment="1" applyProtection="1">
      <alignment horizontal="center"/>
    </xf>
    <xf numFmtId="0" fontId="4" fillId="3" borderId="0" xfId="0" applyFont="1" applyFill="1" applyProtection="1"/>
    <xf numFmtId="0" fontId="0" fillId="3" borderId="18" xfId="0" applyFill="1" applyBorder="1"/>
    <xf numFmtId="1" fontId="0" fillId="3" borderId="3" xfId="0" applyNumberFormat="1" applyFill="1" applyBorder="1"/>
    <xf numFmtId="3" fontId="0" fillId="3" borderId="3" xfId="0" applyNumberFormat="1" applyFill="1" applyBorder="1"/>
    <xf numFmtId="1" fontId="2" fillId="3" borderId="3" xfId="0" applyNumberFormat="1" applyFont="1" applyFill="1" applyBorder="1"/>
    <xf numFmtId="164" fontId="0" fillId="3" borderId="3" xfId="0" applyNumberFormat="1" applyFill="1" applyBorder="1"/>
    <xf numFmtId="2" fontId="0" fillId="3" borderId="20" xfId="0" applyNumberFormat="1" applyFill="1" applyBorder="1"/>
    <xf numFmtId="2" fontId="0" fillId="3" borderId="3" xfId="0" applyNumberFormat="1" applyFill="1" applyBorder="1"/>
    <xf numFmtId="0" fontId="2" fillId="3" borderId="3" xfId="0" applyFont="1" applyFill="1" applyBorder="1"/>
    <xf numFmtId="9" fontId="0" fillId="3" borderId="3" xfId="0" applyNumberFormat="1" applyFill="1" applyBorder="1"/>
    <xf numFmtId="0" fontId="0" fillId="7" borderId="19" xfId="0" applyFill="1" applyBorder="1" applyAlignment="1"/>
    <xf numFmtId="0" fontId="2" fillId="7" borderId="19" xfId="0" applyFont="1" applyFill="1" applyBorder="1" applyAlignment="1"/>
    <xf numFmtId="2" fontId="0" fillId="7" borderId="3" xfId="0" applyNumberFormat="1" applyFill="1" applyBorder="1"/>
    <xf numFmtId="9" fontId="5" fillId="11" borderId="3" xfId="1" applyFont="1" applyFill="1" applyBorder="1" applyAlignment="1" applyProtection="1">
      <alignment horizontal="center"/>
      <protection locked="0"/>
    </xf>
    <xf numFmtId="0" fontId="2" fillId="7" borderId="26" xfId="0" applyFont="1" applyFill="1" applyBorder="1"/>
    <xf numFmtId="0" fontId="11" fillId="7" borderId="3" xfId="0" applyFont="1" applyFill="1" applyBorder="1"/>
    <xf numFmtId="166" fontId="0" fillId="3" borderId="3" xfId="0" applyNumberFormat="1" applyFill="1" applyBorder="1"/>
    <xf numFmtId="1" fontId="0" fillId="0" borderId="3" xfId="0" applyNumberFormat="1" applyBorder="1"/>
    <xf numFmtId="164" fontId="0" fillId="0" borderId="0" xfId="0" applyNumberFormat="1" applyFill="1" applyBorder="1"/>
    <xf numFmtId="164" fontId="13" fillId="0" borderId="24" xfId="0" applyNumberFormat="1" applyFont="1" applyBorder="1"/>
    <xf numFmtId="0" fontId="13" fillId="0" borderId="24" xfId="0" applyFont="1" applyFill="1" applyBorder="1"/>
    <xf numFmtId="1" fontId="0" fillId="0" borderId="3" xfId="0" applyNumberFormat="1" applyBorder="1" applyAlignment="1"/>
    <xf numFmtId="1" fontId="0" fillId="3" borderId="5" xfId="0" applyNumberFormat="1" applyFill="1" applyBorder="1"/>
    <xf numFmtId="0" fontId="0" fillId="7" borderId="30" xfId="0" applyFill="1" applyBorder="1"/>
    <xf numFmtId="3" fontId="0" fillId="3" borderId="30" xfId="0" applyNumberFormat="1" applyFill="1" applyBorder="1"/>
    <xf numFmtId="1" fontId="0" fillId="3" borderId="30" xfId="0" applyNumberFormat="1" applyFill="1" applyBorder="1"/>
    <xf numFmtId="166" fontId="0" fillId="3" borderId="30" xfId="0" applyNumberFormat="1" applyFill="1" applyBorder="1"/>
    <xf numFmtId="0" fontId="0" fillId="7" borderId="3" xfId="0" applyFill="1" applyBorder="1"/>
    <xf numFmtId="1" fontId="0" fillId="0" borderId="3" xfId="0" applyNumberFormat="1" applyBorder="1"/>
    <xf numFmtId="0" fontId="0" fillId="7" borderId="19" xfId="0" applyFill="1" applyBorder="1"/>
    <xf numFmtId="0" fontId="0" fillId="7" borderId="20" xfId="0" applyFill="1" applyBorder="1"/>
    <xf numFmtId="0" fontId="0" fillId="14" borderId="3" xfId="0" applyFill="1" applyBorder="1"/>
    <xf numFmtId="1" fontId="0" fillId="14" borderId="3" xfId="0" applyNumberFormat="1" applyFill="1" applyBorder="1"/>
    <xf numFmtId="0" fontId="0" fillId="14" borderId="0" xfId="0" applyFill="1"/>
    <xf numFmtId="0" fontId="0" fillId="14" borderId="19" xfId="0" applyFill="1" applyBorder="1"/>
    <xf numFmtId="0" fontId="0" fillId="14" borderId="22" xfId="0" applyFill="1" applyBorder="1"/>
    <xf numFmtId="0" fontId="0" fillId="14" borderId="13" xfId="0" applyFill="1" applyBorder="1"/>
    <xf numFmtId="0" fontId="0" fillId="14" borderId="20" xfId="0" applyFill="1" applyBorder="1"/>
    <xf numFmtId="0" fontId="0" fillId="14" borderId="18" xfId="0" applyFill="1" applyBorder="1"/>
    <xf numFmtId="2" fontId="0" fillId="14" borderId="13" xfId="0" applyNumberFormat="1" applyFill="1" applyBorder="1"/>
    <xf numFmtId="0" fontId="0" fillId="14" borderId="21" xfId="0" applyFill="1" applyBorder="1"/>
    <xf numFmtId="2" fontId="0" fillId="14" borderId="0" xfId="0" applyNumberFormat="1" applyFill="1" applyBorder="1"/>
    <xf numFmtId="0" fontId="0" fillId="14" borderId="5" xfId="0" applyFill="1" applyBorder="1"/>
    <xf numFmtId="0" fontId="0" fillId="14" borderId="1" xfId="0" applyFill="1" applyBorder="1"/>
    <xf numFmtId="164" fontId="2" fillId="14" borderId="17" xfId="0" applyNumberFormat="1" applyFont="1" applyFill="1" applyBorder="1"/>
    <xf numFmtId="0" fontId="0" fillId="7" borderId="3" xfId="0" applyFill="1" applyBorder="1" applyAlignment="1">
      <alignment horizontal="center"/>
    </xf>
    <xf numFmtId="0" fontId="30" fillId="8" borderId="0" xfId="0" applyFont="1" applyFill="1"/>
    <xf numFmtId="0" fontId="28" fillId="8" borderId="0" xfId="0" applyFont="1" applyFill="1"/>
    <xf numFmtId="0" fontId="36" fillId="0" borderId="0" xfId="0" applyFont="1"/>
    <xf numFmtId="0" fontId="0" fillId="8" borderId="5" xfId="0" applyFill="1" applyBorder="1"/>
    <xf numFmtId="0" fontId="0" fillId="12" borderId="0" xfId="0" applyFill="1"/>
    <xf numFmtId="0" fontId="17" fillId="12" borderId="0" xfId="0" applyFont="1" applyFill="1" applyBorder="1"/>
    <xf numFmtId="0" fontId="16" fillId="12" borderId="0" xfId="0" applyFont="1" applyFill="1" applyBorder="1"/>
    <xf numFmtId="0" fontId="0" fillId="12" borderId="0" xfId="0" applyFill="1" applyBorder="1"/>
    <xf numFmtId="0" fontId="2" fillId="0" borderId="0" xfId="0" applyFont="1"/>
    <xf numFmtId="0" fontId="35" fillId="14" borderId="0" xfId="0" applyFont="1" applyFill="1" applyAlignment="1">
      <alignment horizontal="center"/>
    </xf>
    <xf numFmtId="0" fontId="35" fillId="14" borderId="0" xfId="0" applyFont="1" applyFill="1"/>
    <xf numFmtId="0" fontId="13" fillId="0" borderId="0" xfId="0" applyFont="1"/>
    <xf numFmtId="0" fontId="42" fillId="0" borderId="0" xfId="0" applyFont="1"/>
    <xf numFmtId="0" fontId="17" fillId="0" borderId="0" xfId="0" applyFont="1"/>
    <xf numFmtId="0" fontId="16" fillId="0" borderId="0" xfId="0" applyFont="1"/>
    <xf numFmtId="0" fontId="17" fillId="0" borderId="0" xfId="0" applyFont="1" applyAlignment="1">
      <alignment horizontal="left"/>
    </xf>
    <xf numFmtId="0" fontId="0" fillId="14" borderId="2" xfId="0" applyFill="1" applyBorder="1" applyProtection="1">
      <protection locked="0"/>
    </xf>
    <xf numFmtId="0" fontId="0" fillId="14" borderId="0" xfId="0" applyFill="1" applyBorder="1" applyProtection="1">
      <protection locked="0"/>
    </xf>
    <xf numFmtId="0" fontId="0" fillId="14" borderId="30" xfId="0" applyFill="1" applyBorder="1"/>
    <xf numFmtId="0" fontId="28" fillId="17" borderId="0" xfId="0" applyFont="1" applyFill="1"/>
    <xf numFmtId="0" fontId="30" fillId="17" borderId="0" xfId="0" applyFont="1" applyFill="1"/>
    <xf numFmtId="0" fontId="0" fillId="17" borderId="0" xfId="0" applyFill="1"/>
    <xf numFmtId="0" fontId="0" fillId="17" borderId="0" xfId="0" applyFill="1" applyBorder="1"/>
    <xf numFmtId="0" fontId="14" fillId="17" borderId="0" xfId="0" applyFont="1" applyFill="1" applyBorder="1"/>
    <xf numFmtId="0" fontId="0" fillId="8" borderId="0" xfId="0" applyFill="1"/>
    <xf numFmtId="0" fontId="0" fillId="8" borderId="0" xfId="0" applyFill="1" applyBorder="1"/>
    <xf numFmtId="0" fontId="14" fillId="8" borderId="0" xfId="0" applyFont="1" applyFill="1" applyBorder="1"/>
    <xf numFmtId="0" fontId="35" fillId="17" borderId="0" xfId="0" applyFont="1" applyFill="1" applyAlignment="1"/>
    <xf numFmtId="3" fontId="0" fillId="3" borderId="0" xfId="0" applyNumberFormat="1" applyFill="1" applyBorder="1" applyAlignment="1" applyProtection="1">
      <alignment horizontal="center"/>
      <protection locked="0"/>
    </xf>
    <xf numFmtId="3" fontId="0" fillId="3" borderId="0" xfId="0" applyNumberFormat="1" applyFill="1" applyBorder="1" applyAlignment="1" applyProtection="1">
      <alignment horizontal="center"/>
    </xf>
    <xf numFmtId="0" fontId="23" fillId="17" borderId="0" xfId="0" applyFont="1" applyFill="1"/>
    <xf numFmtId="0" fontId="35" fillId="14" borderId="0" xfId="0" applyFont="1" applyFill="1" applyAlignment="1">
      <alignment horizontal="center"/>
    </xf>
    <xf numFmtId="0" fontId="2" fillId="5" borderId="6" xfId="0" applyFont="1" applyFill="1" applyBorder="1"/>
    <xf numFmtId="1" fontId="2" fillId="0" borderId="23" xfId="0" applyNumberFormat="1" applyFont="1" applyBorder="1"/>
    <xf numFmtId="0" fontId="45" fillId="5" borderId="19" xfId="0" applyFont="1" applyFill="1" applyBorder="1" applyAlignment="1">
      <alignment horizontal="right"/>
    </xf>
    <xf numFmtId="1" fontId="2" fillId="0" borderId="20" xfId="0" applyNumberFormat="1" applyFont="1" applyBorder="1"/>
    <xf numFmtId="0" fontId="0" fillId="7" borderId="3" xfId="0" applyFill="1" applyBorder="1"/>
    <xf numFmtId="1" fontId="0" fillId="0" borderId="3" xfId="0" applyNumberFormat="1" applyBorder="1"/>
    <xf numFmtId="0" fontId="2" fillId="7" borderId="3" xfId="0" applyFont="1" applyFill="1" applyBorder="1"/>
    <xf numFmtId="0" fontId="0" fillId="7" borderId="3" xfId="0" applyFill="1" applyBorder="1"/>
    <xf numFmtId="0" fontId="2" fillId="7" borderId="3" xfId="0" applyFont="1" applyFill="1" applyBorder="1"/>
    <xf numFmtId="0" fontId="0" fillId="7" borderId="19" xfId="0" applyFill="1" applyBorder="1" applyAlignment="1">
      <alignment horizontal="center"/>
    </xf>
    <xf numFmtId="1" fontId="0" fillId="0" borderId="3" xfId="0" applyNumberFormat="1" applyBorder="1"/>
    <xf numFmtId="1" fontId="0" fillId="0" borderId="5" xfId="0" applyNumberFormat="1" applyBorder="1"/>
    <xf numFmtId="0" fontId="0" fillId="7" borderId="3" xfId="0" applyFill="1" applyBorder="1" applyAlignment="1">
      <alignment horizontal="center"/>
    </xf>
    <xf numFmtId="0" fontId="0" fillId="7" borderId="3" xfId="0" applyFill="1" applyBorder="1" applyAlignment="1"/>
    <xf numFmtId="0" fontId="13" fillId="0" borderId="0" xfId="0" applyFont="1" applyBorder="1"/>
    <xf numFmtId="164" fontId="13" fillId="0" borderId="0" xfId="0" applyNumberFormat="1" applyFont="1" applyBorder="1"/>
    <xf numFmtId="164" fontId="13" fillId="0" borderId="0" xfId="0" applyNumberFormat="1" applyFont="1" applyFill="1" applyBorder="1"/>
    <xf numFmtId="1" fontId="0" fillId="0" borderId="3" xfId="0" applyNumberFormat="1" applyBorder="1" applyAlignment="1">
      <alignment horizontal="right"/>
    </xf>
    <xf numFmtId="0" fontId="0" fillId="0" borderId="3" xfId="0" applyBorder="1" applyAlignment="1">
      <alignment horizontal="right"/>
    </xf>
    <xf numFmtId="0" fontId="0" fillId="0" borderId="3" xfId="0" applyBorder="1" applyAlignment="1"/>
    <xf numFmtId="1" fontId="0" fillId="0" borderId="5" xfId="0" applyNumberFormat="1" applyFont="1" applyBorder="1"/>
    <xf numFmtId="164" fontId="0" fillId="0" borderId="16" xfId="0" applyNumberFormat="1" applyBorder="1"/>
    <xf numFmtId="0" fontId="0" fillId="7" borderId="3" xfId="0" applyFill="1" applyBorder="1"/>
    <xf numFmtId="0" fontId="0" fillId="7" borderId="3" xfId="0" applyFill="1" applyBorder="1"/>
    <xf numFmtId="1" fontId="0" fillId="0" borderId="3" xfId="0" applyNumberFormat="1" applyBorder="1"/>
    <xf numFmtId="1" fontId="2" fillId="0" borderId="3" xfId="0" applyNumberFormat="1" applyFont="1" applyBorder="1"/>
    <xf numFmtId="0" fontId="0" fillId="7" borderId="19" xfId="0" applyFill="1" applyBorder="1"/>
    <xf numFmtId="0" fontId="0" fillId="7" borderId="20" xfId="0" applyFill="1" applyBorder="1"/>
    <xf numFmtId="0" fontId="47" fillId="0" borderId="0" xfId="0" applyFont="1"/>
    <xf numFmtId="0" fontId="0" fillId="18" borderId="3" xfId="0" applyFill="1" applyBorder="1"/>
    <xf numFmtId="0" fontId="0" fillId="7" borderId="3" xfId="0" applyFill="1" applyBorder="1" applyProtection="1">
      <protection locked="0"/>
    </xf>
    <xf numFmtId="0" fontId="38" fillId="15" borderId="0" xfId="0" applyFont="1" applyFill="1" applyAlignment="1">
      <alignment horizontal="left"/>
    </xf>
    <xf numFmtId="0" fontId="37" fillId="15" borderId="0" xfId="0" applyFont="1" applyFill="1" applyAlignment="1">
      <alignment horizontal="left"/>
    </xf>
    <xf numFmtId="0" fontId="13" fillId="15" borderId="0" xfId="0" applyFont="1" applyFill="1" applyAlignment="1">
      <alignment horizontal="left"/>
    </xf>
    <xf numFmtId="3" fontId="22" fillId="3" borderId="26" xfId="0" applyNumberFormat="1" applyFont="1" applyFill="1" applyBorder="1" applyAlignment="1" applyProtection="1">
      <alignment horizontal="center"/>
    </xf>
    <xf numFmtId="3" fontId="22" fillId="3" borderId="27" xfId="0" applyNumberFormat="1" applyFont="1" applyFill="1" applyBorder="1" applyAlignment="1" applyProtection="1">
      <alignment horizontal="center"/>
    </xf>
    <xf numFmtId="0" fontId="0" fillId="7" borderId="3" xfId="0" applyFill="1" applyBorder="1" applyAlignment="1">
      <alignment horizontal="center"/>
    </xf>
    <xf numFmtId="0" fontId="0" fillId="7" borderId="3" xfId="0" applyFill="1" applyBorder="1"/>
    <xf numFmtId="1" fontId="0" fillId="0" borderId="3" xfId="0" applyNumberFormat="1" applyBorder="1"/>
    <xf numFmtId="0" fontId="2" fillId="7" borderId="3" xfId="0" applyFont="1" applyFill="1" applyBorder="1"/>
    <xf numFmtId="1" fontId="2" fillId="0" borderId="3" xfId="0" applyNumberFormat="1" applyFont="1" applyBorder="1"/>
    <xf numFmtId="0" fontId="0" fillId="7" borderId="19" xfId="0" applyFill="1" applyBorder="1" applyAlignment="1">
      <alignment horizontal="center"/>
    </xf>
    <xf numFmtId="0" fontId="0" fillId="7" borderId="20" xfId="0" applyFill="1" applyBorder="1" applyAlignment="1">
      <alignment horizontal="center"/>
    </xf>
    <xf numFmtId="0" fontId="17" fillId="0" borderId="0" xfId="0" applyFont="1" applyAlignment="1">
      <alignment horizontal="left"/>
    </xf>
    <xf numFmtId="9" fontId="0" fillId="0" borderId="3" xfId="1" applyFont="1" applyBorder="1" applyAlignment="1"/>
    <xf numFmtId="0" fontId="0" fillId="7" borderId="26" xfId="0" applyFill="1" applyBorder="1" applyAlignment="1">
      <alignment horizontal="center"/>
    </xf>
    <xf numFmtId="0" fontId="0" fillId="7" borderId="28" xfId="0" applyFill="1" applyBorder="1" applyAlignment="1">
      <alignment horizontal="center"/>
    </xf>
    <xf numFmtId="0" fontId="0" fillId="7" borderId="27" xfId="0" applyFill="1" applyBorder="1" applyAlignment="1">
      <alignment horizontal="center"/>
    </xf>
    <xf numFmtId="1" fontId="0" fillId="0" borderId="5" xfId="0" applyNumberFormat="1" applyBorder="1"/>
    <xf numFmtId="0" fontId="19" fillId="0" borderId="0" xfId="0" applyFont="1" applyBorder="1" applyAlignment="1">
      <alignment horizontal="center"/>
    </xf>
    <xf numFmtId="0" fontId="19" fillId="0" borderId="24" xfId="0" applyFont="1" applyBorder="1" applyAlignment="1">
      <alignment horizontal="center"/>
    </xf>
    <xf numFmtId="3" fontId="20" fillId="3" borderId="26" xfId="0" applyNumberFormat="1" applyFont="1" applyFill="1" applyBorder="1" applyAlignment="1" applyProtection="1">
      <alignment horizontal="center"/>
    </xf>
    <xf numFmtId="3" fontId="20" fillId="3" borderId="27" xfId="0" applyNumberFormat="1" applyFont="1" applyFill="1" applyBorder="1" applyAlignment="1" applyProtection="1">
      <alignment horizontal="center"/>
    </xf>
    <xf numFmtId="0" fontId="17" fillId="0" borderId="0" xfId="0" applyFont="1"/>
    <xf numFmtId="0" fontId="35" fillId="14" borderId="0" xfId="0" applyFont="1" applyFill="1" applyAlignment="1">
      <alignment horizontal="center"/>
    </xf>
    <xf numFmtId="0" fontId="0" fillId="0" borderId="0" xfId="0" applyAlignment="1">
      <alignment horizontal="center"/>
    </xf>
    <xf numFmtId="0" fontId="0" fillId="8" borderId="22" xfId="0" applyFill="1" applyBorder="1" applyAlignment="1">
      <alignment horizontal="center"/>
    </xf>
    <xf numFmtId="0" fontId="0" fillId="8" borderId="20" xfId="0" applyFill="1" applyBorder="1" applyAlignment="1">
      <alignment horizontal="center"/>
    </xf>
    <xf numFmtId="0" fontId="2" fillId="7" borderId="19" xfId="0" applyFont="1" applyFill="1" applyBorder="1" applyAlignment="1">
      <alignment horizontal="center"/>
    </xf>
    <xf numFmtId="0" fontId="2" fillId="7" borderId="22" xfId="0" applyFont="1" applyFill="1" applyBorder="1" applyAlignment="1">
      <alignment horizontal="center"/>
    </xf>
    <xf numFmtId="0" fontId="2" fillId="7" borderId="20" xfId="0" applyFont="1" applyFill="1" applyBorder="1" applyAlignment="1">
      <alignment horizontal="center"/>
    </xf>
    <xf numFmtId="0" fontId="27" fillId="0" borderId="6" xfId="0" applyFont="1" applyBorder="1" applyAlignment="1">
      <alignment horizontal="center"/>
    </xf>
    <xf numFmtId="0" fontId="27" fillId="0" borderId="7" xfId="0" applyFont="1" applyBorder="1" applyAlignment="1">
      <alignment horizontal="center"/>
    </xf>
    <xf numFmtId="0" fontId="27" fillId="0" borderId="23" xfId="0" applyFont="1" applyBorder="1" applyAlignment="1">
      <alignment horizontal="center"/>
    </xf>
    <xf numFmtId="0" fontId="27" fillId="0" borderId="8" xfId="0" applyFont="1" applyBorder="1" applyAlignment="1">
      <alignment horizontal="center"/>
    </xf>
    <xf numFmtId="0" fontId="27" fillId="0" borderId="0" xfId="0" applyFont="1" applyBorder="1" applyAlignment="1">
      <alignment horizontal="center"/>
    </xf>
    <xf numFmtId="0" fontId="27" fillId="0" borderId="24" xfId="0" applyFont="1" applyBorder="1" applyAlignment="1">
      <alignment horizontal="center"/>
    </xf>
    <xf numFmtId="0" fontId="27" fillId="0" borderId="9" xfId="0" applyFont="1" applyBorder="1" applyAlignment="1">
      <alignment horizontal="center"/>
    </xf>
    <xf numFmtId="0" fontId="27" fillId="0" borderId="10" xfId="0" applyFont="1" applyBorder="1" applyAlignment="1">
      <alignment horizontal="center"/>
    </xf>
    <xf numFmtId="0" fontId="27" fillId="0" borderId="25" xfId="0" applyFont="1" applyBorder="1" applyAlignment="1">
      <alignment horizontal="center"/>
    </xf>
    <xf numFmtId="0" fontId="0" fillId="7" borderId="19" xfId="0" applyFill="1" applyBorder="1"/>
    <xf numFmtId="0" fontId="0" fillId="7" borderId="20" xfId="0" applyFill="1" applyBorder="1"/>
    <xf numFmtId="0" fontId="24" fillId="0" borderId="0" xfId="0" applyFont="1" applyAlignment="1">
      <alignment horizontal="center"/>
    </xf>
    <xf numFmtId="1" fontId="2" fillId="0" borderId="28" xfId="0" applyNumberFormat="1" applyFont="1" applyBorder="1"/>
    <xf numFmtId="1" fontId="2" fillId="0" borderId="27" xfId="0" applyNumberFormat="1" applyFont="1" applyBorder="1"/>
    <xf numFmtId="0" fontId="2" fillId="5" borderId="19" xfId="0" applyFont="1" applyFill="1" applyBorder="1" applyAlignment="1">
      <alignment horizontal="center"/>
    </xf>
    <xf numFmtId="0" fontId="2" fillId="5" borderId="20" xfId="0" applyFont="1" applyFill="1" applyBorder="1" applyAlignment="1">
      <alignment horizontal="center"/>
    </xf>
    <xf numFmtId="0" fontId="24" fillId="0" borderId="6" xfId="0" applyFont="1" applyBorder="1" applyAlignment="1">
      <alignment horizontal="center"/>
    </xf>
    <xf numFmtId="0" fontId="26" fillId="0" borderId="7" xfId="0" applyFont="1" applyBorder="1" applyAlignment="1">
      <alignment horizontal="center"/>
    </xf>
    <xf numFmtId="0" fontId="26" fillId="0" borderId="23" xfId="0" applyFont="1" applyBorder="1" applyAlignment="1">
      <alignment horizontal="center"/>
    </xf>
    <xf numFmtId="0" fontId="26" fillId="0" borderId="9" xfId="0" applyFont="1" applyBorder="1" applyAlignment="1">
      <alignment horizontal="center"/>
    </xf>
    <xf numFmtId="0" fontId="26" fillId="0" borderId="10" xfId="0" applyFont="1" applyBorder="1" applyAlignment="1">
      <alignment horizontal="center"/>
    </xf>
    <xf numFmtId="0" fontId="26" fillId="0" borderId="25" xfId="0" applyFont="1" applyBorder="1" applyAlignment="1">
      <alignment horizontal="center"/>
    </xf>
    <xf numFmtId="0" fontId="35" fillId="14" borderId="0" xfId="0" applyFont="1" applyFill="1" applyAlignment="1" applyProtection="1">
      <alignment horizontal="center" wrapText="1"/>
    </xf>
    <xf numFmtId="0" fontId="12" fillId="0" borderId="0" xfId="0" applyFont="1" applyProtection="1"/>
    <xf numFmtId="0" fontId="35" fillId="14" borderId="0" xfId="0" applyFont="1" applyFill="1" applyAlignment="1" applyProtection="1">
      <alignment horizontal="center"/>
    </xf>
    <xf numFmtId="0" fontId="2" fillId="0" borderId="0" xfId="0" applyFont="1" applyProtection="1"/>
    <xf numFmtId="0" fontId="0" fillId="7" borderId="3" xfId="0" applyFill="1" applyBorder="1" applyProtection="1"/>
    <xf numFmtId="1" fontId="0" fillId="3" borderId="3" xfId="0" applyNumberFormat="1" applyFill="1" applyBorder="1" applyProtection="1"/>
    <xf numFmtId="1" fontId="0" fillId="0" borderId="3" xfId="0" applyNumberFormat="1" applyBorder="1" applyProtection="1"/>
    <xf numFmtId="0" fontId="0" fillId="0" borderId="3" xfId="0" applyBorder="1" applyProtection="1"/>
    <xf numFmtId="164" fontId="0" fillId="0" borderId="3" xfId="0" applyNumberFormat="1" applyBorder="1" applyProtection="1"/>
    <xf numFmtId="0" fontId="0" fillId="7" borderId="3" xfId="0" applyFill="1" applyBorder="1" applyAlignment="1" applyProtection="1">
      <alignment horizontal="left"/>
    </xf>
    <xf numFmtId="10" fontId="0" fillId="0" borderId="3" xfId="0" applyNumberFormat="1" applyBorder="1" applyProtection="1"/>
    <xf numFmtId="9" fontId="0" fillId="0" borderId="3" xfId="1" applyFont="1" applyBorder="1" applyProtection="1"/>
    <xf numFmtId="1" fontId="0" fillId="11" borderId="3" xfId="0" applyNumberFormat="1" applyFill="1" applyBorder="1" applyProtection="1"/>
    <xf numFmtId="1" fontId="0" fillId="0" borderId="0" xfId="0" applyNumberFormat="1" applyProtection="1"/>
    <xf numFmtId="1" fontId="0" fillId="13" borderId="3" xfId="0" applyNumberFormat="1" applyFill="1" applyBorder="1" applyProtection="1"/>
    <xf numFmtId="0" fontId="19" fillId="0" borderId="6" xfId="0" applyFont="1" applyBorder="1" applyAlignment="1" applyProtection="1">
      <alignment horizontal="center"/>
    </xf>
    <xf numFmtId="0" fontId="19" fillId="0" borderId="7" xfId="0" applyFont="1" applyBorder="1" applyAlignment="1" applyProtection="1">
      <alignment horizontal="center"/>
    </xf>
    <xf numFmtId="0" fontId="19" fillId="0" borderId="23" xfId="0" applyFont="1" applyBorder="1" applyAlignment="1" applyProtection="1">
      <alignment horizontal="center"/>
    </xf>
    <xf numFmtId="0" fontId="19" fillId="0" borderId="9" xfId="0" applyFont="1" applyBorder="1" applyAlignment="1" applyProtection="1">
      <alignment horizontal="center"/>
    </xf>
    <xf numFmtId="0" fontId="19" fillId="0" borderId="10" xfId="0" applyFont="1" applyBorder="1" applyAlignment="1" applyProtection="1">
      <alignment horizontal="center"/>
    </xf>
    <xf numFmtId="0" fontId="19" fillId="0" borderId="25" xfId="0" applyFont="1" applyBorder="1" applyAlignment="1" applyProtection="1">
      <alignment horizontal="center"/>
    </xf>
    <xf numFmtId="0" fontId="0" fillId="11" borderId="0" xfId="0" applyFill="1" applyProtection="1">
      <protection locked="0"/>
    </xf>
    <xf numFmtId="0" fontId="0" fillId="11" borderId="3" xfId="0" applyFill="1" applyBorder="1" applyProtection="1">
      <protection locked="0"/>
    </xf>
    <xf numFmtId="10" fontId="0" fillId="11" borderId="3" xfId="0" applyNumberFormat="1" applyFill="1" applyBorder="1" applyProtection="1">
      <protection locked="0"/>
    </xf>
    <xf numFmtId="9" fontId="0" fillId="11" borderId="3" xfId="1" applyFont="1" applyFill="1" applyBorder="1" applyProtection="1">
      <protection locked="0"/>
    </xf>
    <xf numFmtId="1" fontId="0" fillId="11" borderId="3" xfId="0" applyNumberFormat="1" applyFill="1" applyBorder="1" applyProtection="1">
      <protection locked="0"/>
    </xf>
    <xf numFmtId="0" fontId="0" fillId="13" borderId="2" xfId="0" applyFill="1" applyBorder="1" applyProtection="1"/>
    <xf numFmtId="164" fontId="0" fillId="13" borderId="2" xfId="0" applyNumberFormat="1" applyFill="1" applyBorder="1" applyProtection="1"/>
    <xf numFmtId="1" fontId="0" fillId="13" borderId="2" xfId="0" applyNumberFormat="1" applyFill="1" applyBorder="1" applyProtection="1"/>
    <xf numFmtId="1" fontId="0" fillId="13" borderId="3" xfId="0" applyNumberFormat="1" applyFill="1" applyBorder="1" applyAlignment="1" applyProtection="1">
      <alignment horizontal="center"/>
    </xf>
    <xf numFmtId="164" fontId="0" fillId="13" borderId="3" xfId="0" applyNumberFormat="1" applyFill="1" applyBorder="1" applyAlignment="1" applyProtection="1">
      <alignment horizontal="center"/>
    </xf>
    <xf numFmtId="0" fontId="3" fillId="13" borderId="2" xfId="0" applyFont="1" applyFill="1" applyBorder="1" applyProtection="1"/>
    <xf numFmtId="3" fontId="0" fillId="13" borderId="3" xfId="0" applyNumberFormat="1" applyFill="1" applyBorder="1" applyAlignment="1" applyProtection="1">
      <alignment horizontal="center"/>
    </xf>
    <xf numFmtId="1" fontId="0" fillId="13" borderId="5" xfId="0" applyNumberFormat="1" applyFill="1" applyBorder="1" applyAlignment="1" applyProtection="1">
      <alignment horizontal="center"/>
    </xf>
    <xf numFmtId="0" fontId="0" fillId="11" borderId="3" xfId="0" applyFill="1" applyBorder="1" applyProtection="1">
      <protection locked="0"/>
    </xf>
    <xf numFmtId="2" fontId="0" fillId="11" borderId="3" xfId="0" applyNumberFormat="1" applyFill="1" applyBorder="1" applyProtection="1">
      <protection locked="0"/>
    </xf>
    <xf numFmtId="2" fontId="0" fillId="11" borderId="18" xfId="0" applyNumberFormat="1" applyFill="1" applyBorder="1" applyProtection="1">
      <protection locked="0"/>
    </xf>
    <xf numFmtId="0" fontId="0" fillId="11" borderId="19" xfId="0" applyFill="1" applyBorder="1" applyProtection="1">
      <protection locked="0"/>
    </xf>
    <xf numFmtId="0" fontId="39" fillId="11" borderId="3" xfId="0" applyFont="1" applyFill="1" applyBorder="1" applyProtection="1">
      <protection locked="0"/>
    </xf>
    <xf numFmtId="166" fontId="0" fillId="11" borderId="3" xfId="0" applyNumberFormat="1" applyFill="1" applyBorder="1" applyProtection="1">
      <protection locked="0"/>
    </xf>
    <xf numFmtId="166" fontId="0" fillId="11" borderId="30" xfId="0" applyNumberFormat="1" applyFill="1" applyBorder="1" applyProtection="1">
      <protection locked="0"/>
    </xf>
    <xf numFmtId="0" fontId="0" fillId="5" borderId="3" xfId="0" applyFill="1" applyBorder="1" applyProtection="1">
      <protection locked="0"/>
    </xf>
    <xf numFmtId="9" fontId="0" fillId="11" borderId="3" xfId="0" applyNumberFormat="1" applyFill="1" applyBorder="1" applyProtection="1">
      <protection locked="0"/>
    </xf>
    <xf numFmtId="0" fontId="0" fillId="5" borderId="19" xfId="0" applyFill="1" applyBorder="1" applyAlignment="1" applyProtection="1">
      <protection locked="0"/>
    </xf>
    <xf numFmtId="164" fontId="0" fillId="11" borderId="3" xfId="0" applyNumberFormat="1" applyFill="1" applyBorder="1" applyProtection="1">
      <protection locked="0"/>
    </xf>
    <xf numFmtId="0" fontId="0" fillId="5" borderId="3" xfId="0" applyFill="1" applyBorder="1" applyAlignment="1" applyProtection="1">
      <protection locked="0"/>
    </xf>
    <xf numFmtId="0" fontId="35" fillId="14" borderId="0" xfId="0" applyFont="1" applyFill="1" applyAlignment="1" applyProtection="1">
      <alignment horizontal="center"/>
    </xf>
    <xf numFmtId="0" fontId="0" fillId="7" borderId="19" xfId="0" applyFill="1" applyBorder="1" applyAlignment="1" applyProtection="1"/>
    <xf numFmtId="0" fontId="0" fillId="7" borderId="19" xfId="0" applyFill="1" applyBorder="1" applyAlignment="1" applyProtection="1">
      <alignment horizontal="center"/>
    </xf>
    <xf numFmtId="0" fontId="0" fillId="7" borderId="3" xfId="0" applyFill="1" applyBorder="1" applyAlignment="1" applyProtection="1">
      <alignment horizontal="center"/>
    </xf>
    <xf numFmtId="2" fontId="0" fillId="0" borderId="3" xfId="0" applyNumberFormat="1" applyBorder="1" applyProtection="1"/>
    <xf numFmtId="0" fontId="0" fillId="7" borderId="3" xfId="0" applyFill="1" applyBorder="1" applyAlignment="1" applyProtection="1"/>
    <xf numFmtId="164" fontId="0" fillId="0" borderId="0" xfId="0" applyNumberFormat="1" applyProtection="1"/>
    <xf numFmtId="0" fontId="3" fillId="7" borderId="3" xfId="2" applyFill="1" applyBorder="1" applyProtection="1"/>
    <xf numFmtId="0" fontId="3" fillId="2" borderId="0" xfId="2" applyFill="1" applyProtection="1"/>
    <xf numFmtId="9" fontId="5" fillId="3" borderId="3" xfId="1" applyFont="1" applyFill="1" applyBorder="1" applyAlignment="1" applyProtection="1">
      <alignment horizontal="center"/>
    </xf>
    <xf numFmtId="1" fontId="5" fillId="3" borderId="3" xfId="1" applyNumberFormat="1" applyFont="1" applyFill="1" applyBorder="1" applyAlignment="1" applyProtection="1">
      <alignment horizontal="center"/>
    </xf>
    <xf numFmtId="2" fontId="5" fillId="3" borderId="3" xfId="1" applyNumberFormat="1" applyFont="1" applyFill="1" applyBorder="1" applyAlignment="1" applyProtection="1">
      <alignment horizontal="center"/>
    </xf>
    <xf numFmtId="0" fontId="2" fillId="7" borderId="19" xfId="0" applyFont="1" applyFill="1" applyBorder="1" applyAlignment="1" applyProtection="1"/>
    <xf numFmtId="1" fontId="2" fillId="0" borderId="0" xfId="0" applyNumberFormat="1" applyFont="1" applyProtection="1"/>
    <xf numFmtId="2" fontId="2" fillId="0" borderId="0" xfId="0" applyNumberFormat="1" applyFont="1" applyProtection="1"/>
    <xf numFmtId="0" fontId="35" fillId="0" borderId="0" xfId="0" applyFont="1" applyAlignment="1" applyProtection="1">
      <alignment horizontal="center" vertical="center"/>
    </xf>
    <xf numFmtId="0" fontId="0" fillId="7" borderId="3" xfId="0" applyFill="1" applyBorder="1" applyAlignment="1" applyProtection="1"/>
    <xf numFmtId="0" fontId="2" fillId="0" borderId="0" xfId="0" applyFont="1" applyBorder="1" applyAlignment="1" applyProtection="1">
      <alignment horizontal="right"/>
    </xf>
    <xf numFmtId="1" fontId="2" fillId="3" borderId="3" xfId="0" applyNumberFormat="1" applyFont="1" applyFill="1" applyBorder="1" applyProtection="1"/>
    <xf numFmtId="0" fontId="0" fillId="7" borderId="19" xfId="0" applyFill="1" applyBorder="1" applyAlignment="1" applyProtection="1">
      <alignment horizontal="center"/>
    </xf>
    <xf numFmtId="0" fontId="0" fillId="7" borderId="20" xfId="0" applyFill="1" applyBorder="1" applyAlignment="1" applyProtection="1">
      <alignment horizontal="center"/>
    </xf>
    <xf numFmtId="9" fontId="0" fillId="0" borderId="3" xfId="0" applyNumberFormat="1" applyBorder="1" applyProtection="1"/>
    <xf numFmtId="0" fontId="50" fillId="0" borderId="0" xfId="0" applyFont="1"/>
    <xf numFmtId="0" fontId="39" fillId="11" borderId="0" xfId="0" applyFont="1" applyFill="1" applyProtection="1">
      <protection locked="0"/>
    </xf>
    <xf numFmtId="0" fontId="0" fillId="11" borderId="3" xfId="0" applyFill="1" applyBorder="1" applyAlignment="1" applyProtection="1">
      <protection locked="0"/>
    </xf>
    <xf numFmtId="0" fontId="0" fillId="8" borderId="0" xfId="0" applyFill="1" applyProtection="1"/>
    <xf numFmtId="0" fontId="0" fillId="17" borderId="0" xfId="0" applyFill="1" applyProtection="1"/>
    <xf numFmtId="0" fontId="25" fillId="15" borderId="0" xfId="0" applyFont="1" applyFill="1" applyBorder="1" applyAlignment="1" applyProtection="1">
      <alignment horizontal="center"/>
    </xf>
    <xf numFmtId="0" fontId="23" fillId="0" borderId="0" xfId="0" applyFont="1" applyProtection="1"/>
    <xf numFmtId="0" fontId="29" fillId="0" borderId="0" xfId="0" applyFont="1" applyProtection="1"/>
    <xf numFmtId="0" fontId="23" fillId="8" borderId="0" xfId="0" applyFont="1" applyFill="1" applyProtection="1"/>
    <xf numFmtId="0" fontId="23" fillId="17" borderId="0" xfId="0" applyFont="1" applyFill="1" applyProtection="1"/>
    <xf numFmtId="0" fontId="0" fillId="7" borderId="3" xfId="0" applyFont="1" applyFill="1" applyBorder="1" applyProtection="1"/>
    <xf numFmtId="0" fontId="0" fillId="7" borderId="3" xfId="0" applyFont="1" applyFill="1" applyBorder="1" applyAlignment="1" applyProtection="1">
      <alignment wrapText="1"/>
    </xf>
    <xf numFmtId="0" fontId="17" fillId="0" borderId="0" xfId="0" applyFont="1" applyAlignment="1" applyProtection="1"/>
    <xf numFmtId="0" fontId="2" fillId="0" borderId="0" xfId="0" applyFont="1" applyAlignment="1" applyProtection="1"/>
    <xf numFmtId="0" fontId="0" fillId="7" borderId="3" xfId="0" applyFill="1" applyBorder="1" applyProtection="1"/>
    <xf numFmtId="0" fontId="2" fillId="7" borderId="3" xfId="0" applyFont="1" applyFill="1" applyBorder="1" applyProtection="1"/>
    <xf numFmtId="1" fontId="2" fillId="0" borderId="3" xfId="0" applyNumberFormat="1" applyFont="1" applyBorder="1" applyProtection="1"/>
    <xf numFmtId="0" fontId="0" fillId="7" borderId="3" xfId="0" applyFill="1" applyBorder="1" applyAlignment="1" applyProtection="1">
      <alignment horizontal="center"/>
    </xf>
    <xf numFmtId="1" fontId="0" fillId="0" borderId="3" xfId="0" applyNumberFormat="1" applyBorder="1" applyProtection="1"/>
    <xf numFmtId="1" fontId="2" fillId="0" borderId="3" xfId="0" applyNumberFormat="1" applyFont="1" applyBorder="1" applyProtection="1"/>
    <xf numFmtId="0" fontId="17" fillId="0" borderId="0" xfId="0" applyFont="1" applyProtection="1"/>
    <xf numFmtId="0" fontId="0" fillId="7" borderId="3" xfId="0" applyFill="1" applyBorder="1" applyAlignment="1" applyProtection="1">
      <alignment wrapText="1"/>
    </xf>
    <xf numFmtId="0" fontId="15" fillId="7" borderId="3" xfId="0" applyFont="1" applyFill="1" applyBorder="1" applyAlignment="1" applyProtection="1">
      <alignment wrapText="1"/>
    </xf>
    <xf numFmtId="0" fontId="0" fillId="7" borderId="18" xfId="0" applyFill="1" applyBorder="1" applyAlignment="1" applyProtection="1">
      <alignment wrapText="1"/>
    </xf>
    <xf numFmtId="0" fontId="0" fillId="0" borderId="18" xfId="0" applyBorder="1" applyProtection="1"/>
    <xf numFmtId="164" fontId="0" fillId="0" borderId="18" xfId="0" applyNumberFormat="1" applyBorder="1" applyProtection="1"/>
    <xf numFmtId="1" fontId="0" fillId="0" borderId="18" xfId="0" applyNumberFormat="1" applyBorder="1" applyProtection="1"/>
    <xf numFmtId="1" fontId="2" fillId="0" borderId="21" xfId="0" applyNumberFormat="1" applyFont="1" applyBorder="1" applyProtection="1"/>
    <xf numFmtId="0" fontId="0" fillId="7" borderId="19" xfId="0" applyFill="1" applyBorder="1" applyProtection="1"/>
    <xf numFmtId="0" fontId="0" fillId="0" borderId="12" xfId="0" applyBorder="1" applyProtection="1"/>
    <xf numFmtId="164" fontId="0" fillId="0" borderId="13" xfId="0" applyNumberFormat="1" applyBorder="1" applyProtection="1"/>
    <xf numFmtId="0" fontId="0" fillId="0" borderId="13" xfId="0" applyBorder="1" applyProtection="1"/>
    <xf numFmtId="1" fontId="0" fillId="0" borderId="13" xfId="0" applyNumberFormat="1" applyBorder="1" applyProtection="1"/>
    <xf numFmtId="0" fontId="0" fillId="0" borderId="0" xfId="0" applyBorder="1" applyProtection="1"/>
    <xf numFmtId="1" fontId="0" fillId="0" borderId="21" xfId="0" applyNumberFormat="1" applyBorder="1" applyProtection="1"/>
    <xf numFmtId="0" fontId="2" fillId="7" borderId="3" xfId="0" applyFont="1" applyFill="1" applyBorder="1" applyProtection="1"/>
    <xf numFmtId="0" fontId="2" fillId="6" borderId="3" xfId="0" applyFont="1" applyFill="1" applyBorder="1" applyProtection="1"/>
    <xf numFmtId="164" fontId="2" fillId="0" borderId="3" xfId="0" applyNumberFormat="1" applyFont="1" applyBorder="1" applyProtection="1"/>
    <xf numFmtId="0" fontId="0" fillId="7" borderId="3" xfId="0" applyFill="1" applyBorder="1" applyAlignment="1" applyProtection="1">
      <alignment horizontal="right"/>
    </xf>
    <xf numFmtId="1" fontId="2" fillId="0" borderId="5" xfId="0" applyNumberFormat="1" applyFont="1" applyBorder="1" applyProtection="1"/>
    <xf numFmtId="0" fontId="0" fillId="7" borderId="18" xfId="0" applyFill="1" applyBorder="1" applyProtection="1"/>
    <xf numFmtId="0" fontId="0" fillId="0" borderId="0" xfId="0" applyAlignment="1" applyProtection="1"/>
    <xf numFmtId="0" fontId="0" fillId="7" borderId="5" xfId="0" applyFill="1" applyBorder="1" applyProtection="1"/>
    <xf numFmtId="0" fontId="0" fillId="7" borderId="22" xfId="0" applyFill="1" applyBorder="1" applyProtection="1"/>
    <xf numFmtId="0" fontId="0" fillId="7" borderId="20" xfId="0" applyFill="1" applyBorder="1" applyProtection="1"/>
    <xf numFmtId="0" fontId="0" fillId="7" borderId="21" xfId="0" applyFill="1" applyBorder="1" applyProtection="1"/>
    <xf numFmtId="164" fontId="0" fillId="0" borderId="0" xfId="0" applyNumberFormat="1" applyBorder="1" applyProtection="1"/>
    <xf numFmtId="164" fontId="0" fillId="0" borderId="11" xfId="0" applyNumberFormat="1" applyBorder="1" applyProtection="1"/>
    <xf numFmtId="164" fontId="0" fillId="0" borderId="21" xfId="0" applyNumberFormat="1" applyBorder="1" applyProtection="1"/>
    <xf numFmtId="164" fontId="2" fillId="0" borderId="1" xfId="0" applyNumberFormat="1" applyFont="1" applyBorder="1" applyProtection="1"/>
    <xf numFmtId="164" fontId="2" fillId="0" borderId="17" xfId="0" applyNumberFormat="1" applyFont="1" applyBorder="1" applyProtection="1"/>
    <xf numFmtId="164" fontId="2" fillId="0" borderId="5" xfId="0" applyNumberFormat="1" applyFont="1" applyBorder="1" applyProtection="1"/>
    <xf numFmtId="164" fontId="2" fillId="12" borderId="17" xfId="0" applyNumberFormat="1" applyFont="1" applyFill="1" applyBorder="1" applyProtection="1"/>
    <xf numFmtId="164" fontId="2" fillId="12" borderId="5" xfId="0" applyNumberFormat="1" applyFont="1" applyFill="1" applyBorder="1" applyProtection="1"/>
    <xf numFmtId="0" fontId="11" fillId="0" borderId="0" xfId="0" applyFont="1" applyProtection="1"/>
    <xf numFmtId="0" fontId="36" fillId="7" borderId="18" xfId="0" applyFont="1" applyFill="1" applyBorder="1" applyProtection="1"/>
    <xf numFmtId="0" fontId="36" fillId="7" borderId="5" xfId="0" applyFont="1" applyFill="1" applyBorder="1" applyProtection="1"/>
    <xf numFmtId="0" fontId="0" fillId="7" borderId="12" xfId="0" applyFill="1" applyBorder="1" applyProtection="1"/>
    <xf numFmtId="0" fontId="0" fillId="7" borderId="14" xfId="0" applyFill="1" applyBorder="1" applyProtection="1"/>
    <xf numFmtId="164" fontId="0" fillId="0" borderId="12" xfId="0" applyNumberFormat="1" applyBorder="1" applyProtection="1"/>
    <xf numFmtId="164" fontId="0" fillId="0" borderId="14" xfId="0" applyNumberFormat="1" applyBorder="1" applyProtection="1"/>
    <xf numFmtId="0" fontId="0" fillId="7" borderId="15" xfId="0" applyFill="1" applyBorder="1" applyProtection="1"/>
    <xf numFmtId="164" fontId="0" fillId="0" borderId="15" xfId="0" applyNumberFormat="1" applyBorder="1" applyProtection="1"/>
    <xf numFmtId="0" fontId="0" fillId="7" borderId="16" xfId="0" applyFill="1" applyBorder="1" applyProtection="1"/>
    <xf numFmtId="164" fontId="2" fillId="0" borderId="16" xfId="0" applyNumberFormat="1" applyFont="1" applyBorder="1" applyProtection="1"/>
    <xf numFmtId="3" fontId="0" fillId="3" borderId="3" xfId="0" applyNumberFormat="1" applyFill="1" applyBorder="1" applyProtection="1"/>
    <xf numFmtId="166" fontId="0" fillId="16" borderId="3" xfId="0" applyNumberFormat="1" applyFill="1" applyBorder="1" applyProtection="1"/>
    <xf numFmtId="0" fontId="0" fillId="7" borderId="30" xfId="0" applyFill="1" applyBorder="1" applyProtection="1"/>
    <xf numFmtId="3" fontId="0" fillId="3" borderId="30" xfId="0" applyNumberFormat="1" applyFill="1" applyBorder="1" applyProtection="1"/>
    <xf numFmtId="1" fontId="0" fillId="3" borderId="30" xfId="0" applyNumberFormat="1" applyFill="1" applyBorder="1" applyProtection="1"/>
    <xf numFmtId="1" fontId="0" fillId="3" borderId="5" xfId="0" applyNumberFormat="1" applyFill="1" applyBorder="1" applyProtection="1"/>
    <xf numFmtId="166" fontId="0" fillId="3" borderId="3" xfId="0" applyNumberFormat="1" applyFill="1" applyBorder="1" applyProtection="1"/>
    <xf numFmtId="166" fontId="0" fillId="3" borderId="30" xfId="0" applyNumberFormat="1" applyFill="1" applyBorder="1" applyProtection="1"/>
    <xf numFmtId="0" fontId="2" fillId="7" borderId="19" xfId="0" applyFont="1" applyFill="1" applyBorder="1" applyAlignment="1" applyProtection="1">
      <alignment horizontal="center"/>
    </xf>
    <xf numFmtId="0" fontId="2" fillId="7" borderId="22" xfId="0" applyFont="1" applyFill="1" applyBorder="1" applyAlignment="1" applyProtection="1">
      <alignment horizontal="center"/>
    </xf>
    <xf numFmtId="0" fontId="2" fillId="7" borderId="20" xfId="0" applyFont="1" applyFill="1" applyBorder="1" applyAlignment="1" applyProtection="1">
      <alignment horizontal="center"/>
    </xf>
    <xf numFmtId="0" fontId="25" fillId="0" borderId="6" xfId="0" applyFont="1" applyBorder="1" applyAlignment="1" applyProtection="1">
      <alignment horizontal="center"/>
    </xf>
    <xf numFmtId="0" fontId="25" fillId="0" borderId="7" xfId="0" applyFont="1" applyBorder="1" applyAlignment="1" applyProtection="1">
      <alignment horizontal="center"/>
    </xf>
    <xf numFmtId="0" fontId="25" fillId="0" borderId="23" xfId="0" applyFont="1" applyBorder="1" applyAlignment="1" applyProtection="1">
      <alignment horizontal="center"/>
    </xf>
    <xf numFmtId="0" fontId="25" fillId="0" borderId="8" xfId="0" applyFont="1" applyBorder="1" applyAlignment="1" applyProtection="1">
      <alignment horizontal="center"/>
    </xf>
    <xf numFmtId="0" fontId="25" fillId="0" borderId="0" xfId="0" applyFont="1" applyBorder="1" applyAlignment="1" applyProtection="1">
      <alignment horizontal="center"/>
    </xf>
    <xf numFmtId="0" fontId="25" fillId="0" borderId="24" xfId="0" applyFont="1" applyBorder="1" applyAlignment="1" applyProtection="1">
      <alignment horizontal="center"/>
    </xf>
    <xf numFmtId="0" fontId="25" fillId="0" borderId="9" xfId="0" applyFont="1" applyBorder="1" applyAlignment="1" applyProtection="1">
      <alignment horizontal="center"/>
    </xf>
    <xf numFmtId="0" fontId="25" fillId="0" borderId="10" xfId="0" applyFont="1" applyBorder="1" applyAlignment="1" applyProtection="1">
      <alignment horizontal="center"/>
    </xf>
    <xf numFmtId="0" fontId="25" fillId="0" borderId="25" xfId="0" applyFont="1" applyBorder="1" applyAlignment="1" applyProtection="1">
      <alignment horizontal="center"/>
    </xf>
  </cellXfs>
  <cellStyles count="3">
    <cellStyle name="Normaali" xfId="0" builtinId="0"/>
    <cellStyle name="Normaali 2" xfId="2"/>
    <cellStyle name="Prosentti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Kate kiinteille kustannuksille</a:t>
            </a:r>
          </a:p>
        </c:rich>
      </c:tx>
      <c:overlay val="0"/>
    </c:title>
    <c:autoTitleDeleted val="0"/>
    <c:plotArea>
      <c:layout/>
      <c:barChart>
        <c:barDir val="col"/>
        <c:grouping val="clustered"/>
        <c:varyColors val="0"/>
        <c:ser>
          <c:idx val="0"/>
          <c:order val="0"/>
          <c:tx>
            <c:v>Kate</c:v>
          </c:tx>
          <c:invertIfNegative val="0"/>
          <c:cat>
            <c:strRef>
              <c:f>(Katevertailu!$S$21,Katevertailu!$S$22,Katevertailu!$S$23,Katevertailu!$S$24,Katevertailu!$S$25,Katevertailu!$S$26,Katevertailu!$S$27)</c:f>
              <c:strCache>
                <c:ptCount val="7"/>
                <c:pt idx="0">
                  <c:v>NYKYTILANNE</c:v>
                </c:pt>
                <c:pt idx="1">
                  <c:v>MAX. KAPASITEETTI NYKYISELLÄ RUOKINNALLA</c:v>
                </c:pt>
                <c:pt idx="2">
                  <c:v>MAX. KAPASITEETTI NYKYISELLÄ RUOKINNALLA &amp; TIHEÄLLÄ KARITSOINNILLA</c:v>
                </c:pt>
                <c:pt idx="3">
                  <c:v>MAX. KAPASITEETTI HUOMIOIDEN VAPAUTUVA TILA</c:v>
                </c:pt>
                <c:pt idx="4">
                  <c:v>MAX. KAPASITEETTI HUOMIOIDEN VAPAUTUVA TILA &amp; TIHEÄ KARITSOINTI</c:v>
                </c:pt>
                <c:pt idx="5">
                  <c:v>MAX. KAPASITEETTI HUOMIOIDEN VAPAUTUVA TILA (hyvinvointikorvaus)</c:v>
                </c:pt>
                <c:pt idx="6">
                  <c:v>MAX. KAPASITEETTI HUOMIOIDEN VAPAUTUVA TILA &amp; TIHEÄ KARITSOINTI (hyvinvointikorvaus)</c:v>
                </c:pt>
              </c:strCache>
            </c:strRef>
          </c:cat>
          <c:val>
            <c:numRef>
              <c:f>(Katevertailu!$C$21,Katevertailu!$F$21,Katevertailu!$I$21,Katevertailu!$L$21,Katevertailu!$O$21,Katevertailu!$L$46,Katevertailu!$O$46)</c:f>
              <c:numCache>
                <c:formatCode>0</c:formatCode>
                <c:ptCount val="7"/>
                <c:pt idx="0">
                  <c:v>0</c:v>
                </c:pt>
                <c:pt idx="1">
                  <c:v>#N/A</c:v>
                </c:pt>
                <c:pt idx="2">
                  <c:v>#N/A</c:v>
                </c:pt>
                <c:pt idx="3">
                  <c:v>#N/A</c:v>
                </c:pt>
                <c:pt idx="4">
                  <c:v>#N/A</c:v>
                </c:pt>
                <c:pt idx="5">
                  <c:v>#N/A</c:v>
                </c:pt>
                <c:pt idx="6">
                  <c:v>#N/A</c:v>
                </c:pt>
              </c:numCache>
            </c:numRef>
          </c:val>
          <c:extLst>
            <c:ext xmlns:c16="http://schemas.microsoft.com/office/drawing/2014/chart" uri="{C3380CC4-5D6E-409C-BE32-E72D297353CC}">
              <c16:uniqueId val="{00000000-0901-443C-A0DF-EE1BA3FEF730}"/>
            </c:ext>
          </c:extLst>
        </c:ser>
        <c:dLbls>
          <c:showLegendKey val="0"/>
          <c:showVal val="0"/>
          <c:showCatName val="0"/>
          <c:showSerName val="0"/>
          <c:showPercent val="0"/>
          <c:showBubbleSize val="0"/>
        </c:dLbls>
        <c:gapWidth val="150"/>
        <c:axId val="119642368"/>
        <c:axId val="131610880"/>
      </c:barChart>
      <c:catAx>
        <c:axId val="119642368"/>
        <c:scaling>
          <c:orientation val="minMax"/>
        </c:scaling>
        <c:delete val="0"/>
        <c:axPos val="b"/>
        <c:numFmt formatCode="General" sourceLinked="0"/>
        <c:majorTickMark val="out"/>
        <c:minorTickMark val="none"/>
        <c:tickLblPos val="nextTo"/>
        <c:txPr>
          <a:bodyPr/>
          <a:lstStyle/>
          <a:p>
            <a:pPr>
              <a:defRPr sz="800" cap="none" normalizeH="0" baseline="0"/>
            </a:pPr>
            <a:endParaRPr lang="fi-FI"/>
          </a:p>
        </c:txPr>
        <c:crossAx val="131610880"/>
        <c:crosses val="autoZero"/>
        <c:auto val="1"/>
        <c:lblAlgn val="ctr"/>
        <c:lblOffset val="100"/>
        <c:noMultiLvlLbl val="0"/>
      </c:catAx>
      <c:valAx>
        <c:axId val="131610880"/>
        <c:scaling>
          <c:orientation val="minMax"/>
        </c:scaling>
        <c:delete val="0"/>
        <c:axPos val="l"/>
        <c:majorGridlines/>
        <c:numFmt formatCode="0" sourceLinked="1"/>
        <c:majorTickMark val="out"/>
        <c:minorTickMark val="none"/>
        <c:tickLblPos val="nextTo"/>
        <c:crossAx val="119642368"/>
        <c:crosses val="autoZero"/>
        <c:crossBetween val="between"/>
      </c:valAx>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trlProps/ctrlProp1.xml><?xml version="1.0" encoding="utf-8"?>
<formControlPr xmlns="http://schemas.microsoft.com/office/spreadsheetml/2009/9/main" objectType="CheckBox" fmlaLink="$E$18" lockText="1" noThreeD="1"/>
</file>

<file path=xl/ctrlProps/ctrlProp10.xml><?xml version="1.0" encoding="utf-8"?>
<formControlPr xmlns="http://schemas.microsoft.com/office/spreadsheetml/2009/9/main" objectType="CheckBox" fmlaLink="$A$12" lockText="1" noThreeD="1"/>
</file>

<file path=xl/ctrlProps/ctrlProp11.xml><?xml version="1.0" encoding="utf-8"?>
<formControlPr xmlns="http://schemas.microsoft.com/office/spreadsheetml/2009/9/main" objectType="CheckBox" fmlaLink="$A$13" lockText="1" noThreeD="1"/>
</file>

<file path=xl/ctrlProps/ctrlProp12.xml><?xml version="1.0" encoding="utf-8"?>
<formControlPr xmlns="http://schemas.microsoft.com/office/spreadsheetml/2009/9/main" objectType="Radio" checked="Checked" firstButton="1" fmlaLink="A8"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Drop" dropStyle="combo" dx="16" fmlaLink="B9" fmlaRange="'Eläintuet &amp; palkkiot'!$B$75:$B$77" noThreeD="1" sel="1" val="0"/>
</file>

<file path=xl/ctrlProps/ctrlProp15.xml><?xml version="1.0" encoding="utf-8"?>
<formControlPr xmlns="http://schemas.microsoft.com/office/spreadsheetml/2009/9/main" objectType="CheckBox" fmlaLink="$A$14" lockText="1" noThreeD="1"/>
</file>

<file path=xl/ctrlProps/ctrlProp16.xml><?xml version="1.0" encoding="utf-8"?>
<formControlPr xmlns="http://schemas.microsoft.com/office/spreadsheetml/2009/9/main" objectType="CheckBox" fmlaLink="$A$15" lockText="1" noThreeD="1"/>
</file>

<file path=xl/ctrlProps/ctrlProp17.xml><?xml version="1.0" encoding="utf-8"?>
<formControlPr xmlns="http://schemas.microsoft.com/office/spreadsheetml/2009/9/main" objectType="Drop" dropStyle="combo" dx="16" fmlaLink="$B$8" fmlaRange="$B$80:$B$85" noThreeD="1" sel="1" val="0"/>
</file>

<file path=xl/ctrlProps/ctrlProp2.xml><?xml version="1.0" encoding="utf-8"?>
<formControlPr xmlns="http://schemas.microsoft.com/office/spreadsheetml/2009/9/main" objectType="Radio" checked="Checked" firstButton="1" fmlaLink="$C$4"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Scroll" dx="16" fmlaLink="$X$21" horiz="1" max="500" page="10" val="0"/>
</file>

<file path=xl/ctrlProps/ctrlProp6.xml><?xml version="1.0" encoding="utf-8"?>
<formControlPr xmlns="http://schemas.microsoft.com/office/spreadsheetml/2009/9/main" objectType="Scroll" dx="16" fmlaLink="$X$34" horiz="1" max="500" page="10" val="0"/>
</file>

<file path=xl/ctrlProps/ctrlProp7.xml><?xml version="1.0" encoding="utf-8"?>
<formControlPr xmlns="http://schemas.microsoft.com/office/spreadsheetml/2009/9/main" objectType="Scroll" dx="16" fmlaLink="$AE$21" horiz="1" max="500" page="10" val="0"/>
</file>

<file path=xl/ctrlProps/ctrlProp8.xml><?xml version="1.0" encoding="utf-8"?>
<formControlPr xmlns="http://schemas.microsoft.com/office/spreadsheetml/2009/9/main" objectType="Scroll" dx="16" fmlaLink="$AE$34" horiz="1" max="500" page="10" val="0"/>
</file>

<file path=xl/ctrlProps/ctrlProp9.xml><?xml version="1.0" encoding="utf-8"?>
<formControlPr xmlns="http://schemas.microsoft.com/office/spreadsheetml/2009/9/main" objectType="CheckBox" fmlaLink="$A$11"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371475</xdr:colOff>
      <xdr:row>76</xdr:row>
      <xdr:rowOff>38100</xdr:rowOff>
    </xdr:from>
    <xdr:to>
      <xdr:col>5</xdr:col>
      <xdr:colOff>371475</xdr:colOff>
      <xdr:row>77</xdr:row>
      <xdr:rowOff>123825</xdr:rowOff>
    </xdr:to>
    <xdr:sp macro="" textlink="">
      <xdr:nvSpPr>
        <xdr:cNvPr id="15" name="Line 53"/>
        <xdr:cNvSpPr>
          <a:spLocks noChangeShapeType="1"/>
        </xdr:cNvSpPr>
      </xdr:nvSpPr>
      <xdr:spPr bwMode="auto">
        <a:xfrm>
          <a:off x="2428875" y="6019800"/>
          <a:ext cx="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371475</xdr:colOff>
      <xdr:row>76</xdr:row>
      <xdr:rowOff>38100</xdr:rowOff>
    </xdr:from>
    <xdr:to>
      <xdr:col>10</xdr:col>
      <xdr:colOff>371475</xdr:colOff>
      <xdr:row>76</xdr:row>
      <xdr:rowOff>38100</xdr:rowOff>
    </xdr:to>
    <xdr:sp macro="" textlink="">
      <xdr:nvSpPr>
        <xdr:cNvPr id="16" name="Line 1244"/>
        <xdr:cNvSpPr>
          <a:spLocks noChangeShapeType="1"/>
        </xdr:cNvSpPr>
      </xdr:nvSpPr>
      <xdr:spPr bwMode="auto">
        <a:xfrm>
          <a:off x="2428875" y="6019800"/>
          <a:ext cx="2038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371475</xdr:colOff>
      <xdr:row>75</xdr:row>
      <xdr:rowOff>9525</xdr:rowOff>
    </xdr:from>
    <xdr:to>
      <xdr:col>10</xdr:col>
      <xdr:colOff>371475</xdr:colOff>
      <xdr:row>76</xdr:row>
      <xdr:rowOff>38100</xdr:rowOff>
    </xdr:to>
    <xdr:sp macro="" textlink="">
      <xdr:nvSpPr>
        <xdr:cNvPr id="17" name="Line 1245"/>
        <xdr:cNvSpPr>
          <a:spLocks noChangeShapeType="1"/>
        </xdr:cNvSpPr>
      </xdr:nvSpPr>
      <xdr:spPr bwMode="auto">
        <a:xfrm flipH="1" flipV="1">
          <a:off x="4467225" y="5819775"/>
          <a:ext cx="0" cy="200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371475</xdr:colOff>
      <xdr:row>76</xdr:row>
      <xdr:rowOff>76200</xdr:rowOff>
    </xdr:from>
    <xdr:to>
      <xdr:col>6</xdr:col>
      <xdr:colOff>371475</xdr:colOff>
      <xdr:row>77</xdr:row>
      <xdr:rowOff>114300</xdr:rowOff>
    </xdr:to>
    <xdr:sp macro="" textlink="">
      <xdr:nvSpPr>
        <xdr:cNvPr id="18" name="Line 53"/>
        <xdr:cNvSpPr>
          <a:spLocks noChangeShapeType="1"/>
        </xdr:cNvSpPr>
      </xdr:nvSpPr>
      <xdr:spPr bwMode="auto">
        <a:xfrm>
          <a:off x="3143250" y="6057900"/>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371475</xdr:colOff>
      <xdr:row>76</xdr:row>
      <xdr:rowOff>76200</xdr:rowOff>
    </xdr:from>
    <xdr:to>
      <xdr:col>11</xdr:col>
      <xdr:colOff>371475</xdr:colOff>
      <xdr:row>76</xdr:row>
      <xdr:rowOff>76200</xdr:rowOff>
    </xdr:to>
    <xdr:sp macro="" textlink="">
      <xdr:nvSpPr>
        <xdr:cNvPr id="19" name="Line 1244"/>
        <xdr:cNvSpPr>
          <a:spLocks noChangeShapeType="1"/>
        </xdr:cNvSpPr>
      </xdr:nvSpPr>
      <xdr:spPr bwMode="auto">
        <a:xfrm>
          <a:off x="3143250" y="6057900"/>
          <a:ext cx="2038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371475</xdr:colOff>
      <xdr:row>75</xdr:row>
      <xdr:rowOff>19050</xdr:rowOff>
    </xdr:from>
    <xdr:to>
      <xdr:col>11</xdr:col>
      <xdr:colOff>381000</xdr:colOff>
      <xdr:row>76</xdr:row>
      <xdr:rowOff>76200</xdr:rowOff>
    </xdr:to>
    <xdr:sp macro="" textlink="">
      <xdr:nvSpPr>
        <xdr:cNvPr id="20" name="Line 1245"/>
        <xdr:cNvSpPr>
          <a:spLocks noChangeShapeType="1"/>
        </xdr:cNvSpPr>
      </xdr:nvSpPr>
      <xdr:spPr bwMode="auto">
        <a:xfrm flipV="1">
          <a:off x="5181600" y="5829300"/>
          <a:ext cx="952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108</xdr:row>
      <xdr:rowOff>85725</xdr:rowOff>
    </xdr:from>
    <xdr:to>
      <xdr:col>8</xdr:col>
      <xdr:colOff>9525</xdr:colOff>
      <xdr:row>108</xdr:row>
      <xdr:rowOff>85725</xdr:rowOff>
    </xdr:to>
    <xdr:cxnSp macro="">
      <xdr:nvCxnSpPr>
        <xdr:cNvPr id="21" name="Suora nuoliyhdysviiva 48"/>
        <xdr:cNvCxnSpPr>
          <a:cxnSpLocks noChangeShapeType="1"/>
        </xdr:cNvCxnSpPr>
      </xdr:nvCxnSpPr>
      <xdr:spPr bwMode="auto">
        <a:xfrm>
          <a:off x="3495675" y="10125075"/>
          <a:ext cx="952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90</xdr:row>
      <xdr:rowOff>85725</xdr:rowOff>
    </xdr:from>
    <xdr:to>
      <xdr:col>10</xdr:col>
      <xdr:colOff>685800</xdr:colOff>
      <xdr:row>90</xdr:row>
      <xdr:rowOff>85725</xdr:rowOff>
    </xdr:to>
    <xdr:sp macro="" textlink="">
      <xdr:nvSpPr>
        <xdr:cNvPr id="22" name="Line 27"/>
        <xdr:cNvSpPr>
          <a:spLocks noChangeShapeType="1"/>
        </xdr:cNvSpPr>
      </xdr:nvSpPr>
      <xdr:spPr bwMode="auto">
        <a:xfrm>
          <a:off x="4000500" y="8162925"/>
          <a:ext cx="781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91</xdr:row>
      <xdr:rowOff>85725</xdr:rowOff>
    </xdr:from>
    <xdr:to>
      <xdr:col>10</xdr:col>
      <xdr:colOff>685800</xdr:colOff>
      <xdr:row>91</xdr:row>
      <xdr:rowOff>85725</xdr:rowOff>
    </xdr:to>
    <xdr:sp macro="" textlink="">
      <xdr:nvSpPr>
        <xdr:cNvPr id="23" name="Line 27"/>
        <xdr:cNvSpPr>
          <a:spLocks noChangeShapeType="1"/>
        </xdr:cNvSpPr>
      </xdr:nvSpPr>
      <xdr:spPr bwMode="auto">
        <a:xfrm>
          <a:off x="4000500" y="8324850"/>
          <a:ext cx="781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92</xdr:row>
      <xdr:rowOff>85725</xdr:rowOff>
    </xdr:from>
    <xdr:to>
      <xdr:col>10</xdr:col>
      <xdr:colOff>685800</xdr:colOff>
      <xdr:row>92</xdr:row>
      <xdr:rowOff>85725</xdr:rowOff>
    </xdr:to>
    <xdr:sp macro="" textlink="">
      <xdr:nvSpPr>
        <xdr:cNvPr id="24" name="Line 27"/>
        <xdr:cNvSpPr>
          <a:spLocks noChangeShapeType="1"/>
        </xdr:cNvSpPr>
      </xdr:nvSpPr>
      <xdr:spPr bwMode="auto">
        <a:xfrm>
          <a:off x="4000500" y="8486775"/>
          <a:ext cx="781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93</xdr:row>
      <xdr:rowOff>85725</xdr:rowOff>
    </xdr:from>
    <xdr:to>
      <xdr:col>10</xdr:col>
      <xdr:colOff>685800</xdr:colOff>
      <xdr:row>93</xdr:row>
      <xdr:rowOff>85725</xdr:rowOff>
    </xdr:to>
    <xdr:sp macro="" textlink="">
      <xdr:nvSpPr>
        <xdr:cNvPr id="25" name="Line 27"/>
        <xdr:cNvSpPr>
          <a:spLocks noChangeShapeType="1"/>
        </xdr:cNvSpPr>
      </xdr:nvSpPr>
      <xdr:spPr bwMode="auto">
        <a:xfrm>
          <a:off x="4000500" y="8648700"/>
          <a:ext cx="781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371475</xdr:colOff>
      <xdr:row>76</xdr:row>
      <xdr:rowOff>38100</xdr:rowOff>
    </xdr:from>
    <xdr:to>
      <xdr:col>24</xdr:col>
      <xdr:colOff>371475</xdr:colOff>
      <xdr:row>77</xdr:row>
      <xdr:rowOff>123825</xdr:rowOff>
    </xdr:to>
    <xdr:sp macro="" textlink="">
      <xdr:nvSpPr>
        <xdr:cNvPr id="35" name="Line 53"/>
        <xdr:cNvSpPr>
          <a:spLocks noChangeShapeType="1"/>
        </xdr:cNvSpPr>
      </xdr:nvSpPr>
      <xdr:spPr bwMode="auto">
        <a:xfrm>
          <a:off x="28016387" y="15143629"/>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371475</xdr:colOff>
      <xdr:row>76</xdr:row>
      <xdr:rowOff>38100</xdr:rowOff>
    </xdr:from>
    <xdr:to>
      <xdr:col>29</xdr:col>
      <xdr:colOff>371475</xdr:colOff>
      <xdr:row>76</xdr:row>
      <xdr:rowOff>38100</xdr:rowOff>
    </xdr:to>
    <xdr:sp macro="" textlink="">
      <xdr:nvSpPr>
        <xdr:cNvPr id="36" name="Line 1244"/>
        <xdr:cNvSpPr>
          <a:spLocks noChangeShapeType="1"/>
        </xdr:cNvSpPr>
      </xdr:nvSpPr>
      <xdr:spPr bwMode="auto">
        <a:xfrm>
          <a:off x="28016387" y="15143629"/>
          <a:ext cx="326091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371475</xdr:colOff>
      <xdr:row>75</xdr:row>
      <xdr:rowOff>9525</xdr:rowOff>
    </xdr:from>
    <xdr:to>
      <xdr:col>29</xdr:col>
      <xdr:colOff>371475</xdr:colOff>
      <xdr:row>76</xdr:row>
      <xdr:rowOff>38100</xdr:rowOff>
    </xdr:to>
    <xdr:sp macro="" textlink="">
      <xdr:nvSpPr>
        <xdr:cNvPr id="37" name="Line 1245"/>
        <xdr:cNvSpPr>
          <a:spLocks noChangeShapeType="1"/>
        </xdr:cNvSpPr>
      </xdr:nvSpPr>
      <xdr:spPr bwMode="auto">
        <a:xfrm flipH="1" flipV="1">
          <a:off x="31277299" y="14913349"/>
          <a:ext cx="0" cy="230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371475</xdr:colOff>
      <xdr:row>76</xdr:row>
      <xdr:rowOff>38100</xdr:rowOff>
    </xdr:from>
    <xdr:to>
      <xdr:col>23</xdr:col>
      <xdr:colOff>371475</xdr:colOff>
      <xdr:row>77</xdr:row>
      <xdr:rowOff>123825</xdr:rowOff>
    </xdr:to>
    <xdr:sp macro="" textlink="">
      <xdr:nvSpPr>
        <xdr:cNvPr id="189" name="Line 53"/>
        <xdr:cNvSpPr>
          <a:spLocks noChangeShapeType="1"/>
        </xdr:cNvSpPr>
      </xdr:nvSpPr>
      <xdr:spPr bwMode="auto">
        <a:xfrm>
          <a:off x="2623857" y="14975541"/>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371475</xdr:colOff>
      <xdr:row>76</xdr:row>
      <xdr:rowOff>38100</xdr:rowOff>
    </xdr:from>
    <xdr:to>
      <xdr:col>28</xdr:col>
      <xdr:colOff>371475</xdr:colOff>
      <xdr:row>76</xdr:row>
      <xdr:rowOff>38100</xdr:rowOff>
    </xdr:to>
    <xdr:sp macro="" textlink="">
      <xdr:nvSpPr>
        <xdr:cNvPr id="190" name="Line 1244"/>
        <xdr:cNvSpPr>
          <a:spLocks noChangeShapeType="1"/>
        </xdr:cNvSpPr>
      </xdr:nvSpPr>
      <xdr:spPr bwMode="auto">
        <a:xfrm>
          <a:off x="2623857" y="14975541"/>
          <a:ext cx="405653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371475</xdr:colOff>
      <xdr:row>75</xdr:row>
      <xdr:rowOff>9525</xdr:rowOff>
    </xdr:from>
    <xdr:to>
      <xdr:col>28</xdr:col>
      <xdr:colOff>371475</xdr:colOff>
      <xdr:row>76</xdr:row>
      <xdr:rowOff>38100</xdr:rowOff>
    </xdr:to>
    <xdr:sp macro="" textlink="">
      <xdr:nvSpPr>
        <xdr:cNvPr id="191" name="Line 1245"/>
        <xdr:cNvSpPr>
          <a:spLocks noChangeShapeType="1"/>
        </xdr:cNvSpPr>
      </xdr:nvSpPr>
      <xdr:spPr bwMode="auto">
        <a:xfrm flipH="1" flipV="1">
          <a:off x="6680387" y="14745260"/>
          <a:ext cx="0" cy="23028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371475</xdr:colOff>
      <xdr:row>76</xdr:row>
      <xdr:rowOff>76200</xdr:rowOff>
    </xdr:from>
    <xdr:to>
      <xdr:col>24</xdr:col>
      <xdr:colOff>371475</xdr:colOff>
      <xdr:row>77</xdr:row>
      <xdr:rowOff>114300</xdr:rowOff>
    </xdr:to>
    <xdr:sp macro="" textlink="">
      <xdr:nvSpPr>
        <xdr:cNvPr id="192" name="Line 53"/>
        <xdr:cNvSpPr>
          <a:spLocks noChangeShapeType="1"/>
        </xdr:cNvSpPr>
      </xdr:nvSpPr>
      <xdr:spPr bwMode="auto">
        <a:xfrm>
          <a:off x="3520328" y="15013641"/>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9525</xdr:colOff>
      <xdr:row>108</xdr:row>
      <xdr:rowOff>85725</xdr:rowOff>
    </xdr:from>
    <xdr:to>
      <xdr:col>26</xdr:col>
      <xdr:colOff>9525</xdr:colOff>
      <xdr:row>108</xdr:row>
      <xdr:rowOff>85725</xdr:rowOff>
    </xdr:to>
    <xdr:cxnSp macro="">
      <xdr:nvCxnSpPr>
        <xdr:cNvPr id="195" name="Suora nuoliyhdysviiva 48"/>
        <xdr:cNvCxnSpPr>
          <a:cxnSpLocks noChangeShapeType="1"/>
        </xdr:cNvCxnSpPr>
      </xdr:nvCxnSpPr>
      <xdr:spPr bwMode="auto">
        <a:xfrm>
          <a:off x="3987613" y="21018313"/>
          <a:ext cx="795618"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27</xdr:col>
      <xdr:colOff>0</xdr:colOff>
      <xdr:row>90</xdr:row>
      <xdr:rowOff>85725</xdr:rowOff>
    </xdr:from>
    <xdr:to>
      <xdr:col>28</xdr:col>
      <xdr:colOff>685800</xdr:colOff>
      <xdr:row>90</xdr:row>
      <xdr:rowOff>85725</xdr:rowOff>
    </xdr:to>
    <xdr:sp macro="" textlink="">
      <xdr:nvSpPr>
        <xdr:cNvPr id="196" name="Line 27"/>
        <xdr:cNvSpPr>
          <a:spLocks noChangeShapeType="1"/>
        </xdr:cNvSpPr>
      </xdr:nvSpPr>
      <xdr:spPr bwMode="auto">
        <a:xfrm>
          <a:off x="5378824" y="177237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0</xdr:colOff>
      <xdr:row>91</xdr:row>
      <xdr:rowOff>85725</xdr:rowOff>
    </xdr:from>
    <xdr:to>
      <xdr:col>28</xdr:col>
      <xdr:colOff>685800</xdr:colOff>
      <xdr:row>91</xdr:row>
      <xdr:rowOff>85725</xdr:rowOff>
    </xdr:to>
    <xdr:sp macro="" textlink="">
      <xdr:nvSpPr>
        <xdr:cNvPr id="197" name="Line 27"/>
        <xdr:cNvSpPr>
          <a:spLocks noChangeShapeType="1"/>
        </xdr:cNvSpPr>
      </xdr:nvSpPr>
      <xdr:spPr bwMode="auto">
        <a:xfrm>
          <a:off x="5378824" y="179142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0</xdr:colOff>
      <xdr:row>92</xdr:row>
      <xdr:rowOff>85725</xdr:rowOff>
    </xdr:from>
    <xdr:to>
      <xdr:col>28</xdr:col>
      <xdr:colOff>685800</xdr:colOff>
      <xdr:row>92</xdr:row>
      <xdr:rowOff>85725</xdr:rowOff>
    </xdr:to>
    <xdr:sp macro="" textlink="">
      <xdr:nvSpPr>
        <xdr:cNvPr id="198" name="Line 27"/>
        <xdr:cNvSpPr>
          <a:spLocks noChangeShapeType="1"/>
        </xdr:cNvSpPr>
      </xdr:nvSpPr>
      <xdr:spPr bwMode="auto">
        <a:xfrm>
          <a:off x="5378824" y="181047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0</xdr:colOff>
      <xdr:row>93</xdr:row>
      <xdr:rowOff>85725</xdr:rowOff>
    </xdr:from>
    <xdr:to>
      <xdr:col>28</xdr:col>
      <xdr:colOff>685800</xdr:colOff>
      <xdr:row>93</xdr:row>
      <xdr:rowOff>85725</xdr:rowOff>
    </xdr:to>
    <xdr:sp macro="" textlink="">
      <xdr:nvSpPr>
        <xdr:cNvPr id="199" name="Line 27"/>
        <xdr:cNvSpPr>
          <a:spLocks noChangeShapeType="1"/>
        </xdr:cNvSpPr>
      </xdr:nvSpPr>
      <xdr:spPr bwMode="auto">
        <a:xfrm>
          <a:off x="5378824" y="182952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371475</xdr:colOff>
      <xdr:row>76</xdr:row>
      <xdr:rowOff>38100</xdr:rowOff>
    </xdr:from>
    <xdr:to>
      <xdr:col>37</xdr:col>
      <xdr:colOff>371475</xdr:colOff>
      <xdr:row>77</xdr:row>
      <xdr:rowOff>123825</xdr:rowOff>
    </xdr:to>
    <xdr:sp macro="" textlink="">
      <xdr:nvSpPr>
        <xdr:cNvPr id="211" name="Line 53"/>
        <xdr:cNvSpPr>
          <a:spLocks noChangeShapeType="1"/>
        </xdr:cNvSpPr>
      </xdr:nvSpPr>
      <xdr:spPr bwMode="auto">
        <a:xfrm>
          <a:off x="2623857" y="14975541"/>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371475</xdr:colOff>
      <xdr:row>76</xdr:row>
      <xdr:rowOff>38100</xdr:rowOff>
    </xdr:from>
    <xdr:to>
      <xdr:col>42</xdr:col>
      <xdr:colOff>371475</xdr:colOff>
      <xdr:row>76</xdr:row>
      <xdr:rowOff>38100</xdr:rowOff>
    </xdr:to>
    <xdr:sp macro="" textlink="">
      <xdr:nvSpPr>
        <xdr:cNvPr id="212" name="Line 1244"/>
        <xdr:cNvSpPr>
          <a:spLocks noChangeShapeType="1"/>
        </xdr:cNvSpPr>
      </xdr:nvSpPr>
      <xdr:spPr bwMode="auto">
        <a:xfrm>
          <a:off x="2623857" y="14975541"/>
          <a:ext cx="405653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371475</xdr:colOff>
      <xdr:row>75</xdr:row>
      <xdr:rowOff>9525</xdr:rowOff>
    </xdr:from>
    <xdr:to>
      <xdr:col>42</xdr:col>
      <xdr:colOff>371475</xdr:colOff>
      <xdr:row>76</xdr:row>
      <xdr:rowOff>38100</xdr:rowOff>
    </xdr:to>
    <xdr:sp macro="" textlink="">
      <xdr:nvSpPr>
        <xdr:cNvPr id="213" name="Line 1245"/>
        <xdr:cNvSpPr>
          <a:spLocks noChangeShapeType="1"/>
        </xdr:cNvSpPr>
      </xdr:nvSpPr>
      <xdr:spPr bwMode="auto">
        <a:xfrm flipH="1" flipV="1">
          <a:off x="6680387" y="14745260"/>
          <a:ext cx="0" cy="23028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371475</xdr:colOff>
      <xdr:row>76</xdr:row>
      <xdr:rowOff>76200</xdr:rowOff>
    </xdr:from>
    <xdr:to>
      <xdr:col>38</xdr:col>
      <xdr:colOff>371475</xdr:colOff>
      <xdr:row>77</xdr:row>
      <xdr:rowOff>114300</xdr:rowOff>
    </xdr:to>
    <xdr:sp macro="" textlink="">
      <xdr:nvSpPr>
        <xdr:cNvPr id="214" name="Line 53"/>
        <xdr:cNvSpPr>
          <a:spLocks noChangeShapeType="1"/>
        </xdr:cNvSpPr>
      </xdr:nvSpPr>
      <xdr:spPr bwMode="auto">
        <a:xfrm>
          <a:off x="3520328" y="15013641"/>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371475</xdr:colOff>
      <xdr:row>76</xdr:row>
      <xdr:rowOff>76200</xdr:rowOff>
    </xdr:from>
    <xdr:to>
      <xdr:col>43</xdr:col>
      <xdr:colOff>371475</xdr:colOff>
      <xdr:row>76</xdr:row>
      <xdr:rowOff>76200</xdr:rowOff>
    </xdr:to>
    <xdr:sp macro="" textlink="">
      <xdr:nvSpPr>
        <xdr:cNvPr id="215" name="Line 1244"/>
        <xdr:cNvSpPr>
          <a:spLocks noChangeShapeType="1"/>
        </xdr:cNvSpPr>
      </xdr:nvSpPr>
      <xdr:spPr bwMode="auto">
        <a:xfrm>
          <a:off x="3520328" y="15013641"/>
          <a:ext cx="391085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371475</xdr:colOff>
      <xdr:row>75</xdr:row>
      <xdr:rowOff>19050</xdr:rowOff>
    </xdr:from>
    <xdr:to>
      <xdr:col>43</xdr:col>
      <xdr:colOff>381000</xdr:colOff>
      <xdr:row>76</xdr:row>
      <xdr:rowOff>76200</xdr:rowOff>
    </xdr:to>
    <xdr:sp macro="" textlink="">
      <xdr:nvSpPr>
        <xdr:cNvPr id="216" name="Line 1245"/>
        <xdr:cNvSpPr>
          <a:spLocks noChangeShapeType="1"/>
        </xdr:cNvSpPr>
      </xdr:nvSpPr>
      <xdr:spPr bwMode="auto">
        <a:xfrm flipV="1">
          <a:off x="7431181" y="14754785"/>
          <a:ext cx="9525" cy="25885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9525</xdr:colOff>
      <xdr:row>108</xdr:row>
      <xdr:rowOff>85725</xdr:rowOff>
    </xdr:from>
    <xdr:to>
      <xdr:col>40</xdr:col>
      <xdr:colOff>9525</xdr:colOff>
      <xdr:row>108</xdr:row>
      <xdr:rowOff>85725</xdr:rowOff>
    </xdr:to>
    <xdr:cxnSp macro="">
      <xdr:nvCxnSpPr>
        <xdr:cNvPr id="217" name="Suora nuoliyhdysviiva 48"/>
        <xdr:cNvCxnSpPr>
          <a:cxnSpLocks noChangeShapeType="1"/>
        </xdr:cNvCxnSpPr>
      </xdr:nvCxnSpPr>
      <xdr:spPr bwMode="auto">
        <a:xfrm>
          <a:off x="3987613" y="21018313"/>
          <a:ext cx="795618"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41</xdr:col>
      <xdr:colOff>0</xdr:colOff>
      <xdr:row>90</xdr:row>
      <xdr:rowOff>85725</xdr:rowOff>
    </xdr:from>
    <xdr:to>
      <xdr:col>42</xdr:col>
      <xdr:colOff>685800</xdr:colOff>
      <xdr:row>90</xdr:row>
      <xdr:rowOff>85725</xdr:rowOff>
    </xdr:to>
    <xdr:sp macro="" textlink="">
      <xdr:nvSpPr>
        <xdr:cNvPr id="218" name="Line 27"/>
        <xdr:cNvSpPr>
          <a:spLocks noChangeShapeType="1"/>
        </xdr:cNvSpPr>
      </xdr:nvSpPr>
      <xdr:spPr bwMode="auto">
        <a:xfrm>
          <a:off x="5378824" y="177237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0</xdr:colOff>
      <xdr:row>91</xdr:row>
      <xdr:rowOff>85725</xdr:rowOff>
    </xdr:from>
    <xdr:to>
      <xdr:col>42</xdr:col>
      <xdr:colOff>685800</xdr:colOff>
      <xdr:row>91</xdr:row>
      <xdr:rowOff>85725</xdr:rowOff>
    </xdr:to>
    <xdr:sp macro="" textlink="">
      <xdr:nvSpPr>
        <xdr:cNvPr id="219" name="Line 27"/>
        <xdr:cNvSpPr>
          <a:spLocks noChangeShapeType="1"/>
        </xdr:cNvSpPr>
      </xdr:nvSpPr>
      <xdr:spPr bwMode="auto">
        <a:xfrm>
          <a:off x="5378824" y="179142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0</xdr:colOff>
      <xdr:row>92</xdr:row>
      <xdr:rowOff>85725</xdr:rowOff>
    </xdr:from>
    <xdr:to>
      <xdr:col>42</xdr:col>
      <xdr:colOff>685800</xdr:colOff>
      <xdr:row>92</xdr:row>
      <xdr:rowOff>85725</xdr:rowOff>
    </xdr:to>
    <xdr:sp macro="" textlink="">
      <xdr:nvSpPr>
        <xdr:cNvPr id="220" name="Line 27"/>
        <xdr:cNvSpPr>
          <a:spLocks noChangeShapeType="1"/>
        </xdr:cNvSpPr>
      </xdr:nvSpPr>
      <xdr:spPr bwMode="auto">
        <a:xfrm>
          <a:off x="5378824" y="181047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0</xdr:colOff>
      <xdr:row>93</xdr:row>
      <xdr:rowOff>85725</xdr:rowOff>
    </xdr:from>
    <xdr:to>
      <xdr:col>42</xdr:col>
      <xdr:colOff>685800</xdr:colOff>
      <xdr:row>93</xdr:row>
      <xdr:rowOff>85725</xdr:rowOff>
    </xdr:to>
    <xdr:sp macro="" textlink="">
      <xdr:nvSpPr>
        <xdr:cNvPr id="221" name="Line 27"/>
        <xdr:cNvSpPr>
          <a:spLocks noChangeShapeType="1"/>
        </xdr:cNvSpPr>
      </xdr:nvSpPr>
      <xdr:spPr bwMode="auto">
        <a:xfrm>
          <a:off x="5378824" y="182952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371475</xdr:colOff>
      <xdr:row>76</xdr:row>
      <xdr:rowOff>38100</xdr:rowOff>
    </xdr:from>
    <xdr:to>
      <xdr:col>51</xdr:col>
      <xdr:colOff>371475</xdr:colOff>
      <xdr:row>77</xdr:row>
      <xdr:rowOff>123825</xdr:rowOff>
    </xdr:to>
    <xdr:sp macro="" textlink="">
      <xdr:nvSpPr>
        <xdr:cNvPr id="233" name="Line 53"/>
        <xdr:cNvSpPr>
          <a:spLocks noChangeShapeType="1"/>
        </xdr:cNvSpPr>
      </xdr:nvSpPr>
      <xdr:spPr bwMode="auto">
        <a:xfrm>
          <a:off x="2623857" y="14975541"/>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371475</xdr:colOff>
      <xdr:row>76</xdr:row>
      <xdr:rowOff>38100</xdr:rowOff>
    </xdr:from>
    <xdr:to>
      <xdr:col>56</xdr:col>
      <xdr:colOff>371475</xdr:colOff>
      <xdr:row>76</xdr:row>
      <xdr:rowOff>38100</xdr:rowOff>
    </xdr:to>
    <xdr:sp macro="" textlink="">
      <xdr:nvSpPr>
        <xdr:cNvPr id="234" name="Line 1244"/>
        <xdr:cNvSpPr>
          <a:spLocks noChangeShapeType="1"/>
        </xdr:cNvSpPr>
      </xdr:nvSpPr>
      <xdr:spPr bwMode="auto">
        <a:xfrm>
          <a:off x="2623857" y="14975541"/>
          <a:ext cx="405653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371475</xdr:colOff>
      <xdr:row>75</xdr:row>
      <xdr:rowOff>9525</xdr:rowOff>
    </xdr:from>
    <xdr:to>
      <xdr:col>56</xdr:col>
      <xdr:colOff>371475</xdr:colOff>
      <xdr:row>76</xdr:row>
      <xdr:rowOff>38100</xdr:rowOff>
    </xdr:to>
    <xdr:sp macro="" textlink="">
      <xdr:nvSpPr>
        <xdr:cNvPr id="235" name="Line 1245"/>
        <xdr:cNvSpPr>
          <a:spLocks noChangeShapeType="1"/>
        </xdr:cNvSpPr>
      </xdr:nvSpPr>
      <xdr:spPr bwMode="auto">
        <a:xfrm flipH="1" flipV="1">
          <a:off x="6680387" y="14745260"/>
          <a:ext cx="0" cy="23028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371475</xdr:colOff>
      <xdr:row>76</xdr:row>
      <xdr:rowOff>76200</xdr:rowOff>
    </xdr:from>
    <xdr:to>
      <xdr:col>52</xdr:col>
      <xdr:colOff>371475</xdr:colOff>
      <xdr:row>77</xdr:row>
      <xdr:rowOff>114300</xdr:rowOff>
    </xdr:to>
    <xdr:sp macro="" textlink="">
      <xdr:nvSpPr>
        <xdr:cNvPr id="236" name="Line 53"/>
        <xdr:cNvSpPr>
          <a:spLocks noChangeShapeType="1"/>
        </xdr:cNvSpPr>
      </xdr:nvSpPr>
      <xdr:spPr bwMode="auto">
        <a:xfrm>
          <a:off x="3520328" y="15013641"/>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371475</xdr:colOff>
      <xdr:row>76</xdr:row>
      <xdr:rowOff>76200</xdr:rowOff>
    </xdr:from>
    <xdr:to>
      <xdr:col>57</xdr:col>
      <xdr:colOff>371475</xdr:colOff>
      <xdr:row>76</xdr:row>
      <xdr:rowOff>76200</xdr:rowOff>
    </xdr:to>
    <xdr:sp macro="" textlink="">
      <xdr:nvSpPr>
        <xdr:cNvPr id="237" name="Line 1244"/>
        <xdr:cNvSpPr>
          <a:spLocks noChangeShapeType="1"/>
        </xdr:cNvSpPr>
      </xdr:nvSpPr>
      <xdr:spPr bwMode="auto">
        <a:xfrm>
          <a:off x="3520328" y="15013641"/>
          <a:ext cx="391085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371475</xdr:colOff>
      <xdr:row>75</xdr:row>
      <xdr:rowOff>19050</xdr:rowOff>
    </xdr:from>
    <xdr:to>
      <xdr:col>57</xdr:col>
      <xdr:colOff>381000</xdr:colOff>
      <xdr:row>76</xdr:row>
      <xdr:rowOff>76200</xdr:rowOff>
    </xdr:to>
    <xdr:sp macro="" textlink="">
      <xdr:nvSpPr>
        <xdr:cNvPr id="238" name="Line 1245"/>
        <xdr:cNvSpPr>
          <a:spLocks noChangeShapeType="1"/>
        </xdr:cNvSpPr>
      </xdr:nvSpPr>
      <xdr:spPr bwMode="auto">
        <a:xfrm flipV="1">
          <a:off x="7431181" y="14754785"/>
          <a:ext cx="9525" cy="25885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9525</xdr:colOff>
      <xdr:row>108</xdr:row>
      <xdr:rowOff>85725</xdr:rowOff>
    </xdr:from>
    <xdr:to>
      <xdr:col>54</xdr:col>
      <xdr:colOff>9525</xdr:colOff>
      <xdr:row>108</xdr:row>
      <xdr:rowOff>85725</xdr:rowOff>
    </xdr:to>
    <xdr:cxnSp macro="">
      <xdr:nvCxnSpPr>
        <xdr:cNvPr id="239" name="Suora nuoliyhdysviiva 48"/>
        <xdr:cNvCxnSpPr>
          <a:cxnSpLocks noChangeShapeType="1"/>
        </xdr:cNvCxnSpPr>
      </xdr:nvCxnSpPr>
      <xdr:spPr bwMode="auto">
        <a:xfrm>
          <a:off x="3987613" y="21018313"/>
          <a:ext cx="795618"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55</xdr:col>
      <xdr:colOff>0</xdr:colOff>
      <xdr:row>90</xdr:row>
      <xdr:rowOff>85725</xdr:rowOff>
    </xdr:from>
    <xdr:to>
      <xdr:col>56</xdr:col>
      <xdr:colOff>685800</xdr:colOff>
      <xdr:row>90</xdr:row>
      <xdr:rowOff>85725</xdr:rowOff>
    </xdr:to>
    <xdr:sp macro="" textlink="">
      <xdr:nvSpPr>
        <xdr:cNvPr id="240" name="Line 27"/>
        <xdr:cNvSpPr>
          <a:spLocks noChangeShapeType="1"/>
        </xdr:cNvSpPr>
      </xdr:nvSpPr>
      <xdr:spPr bwMode="auto">
        <a:xfrm>
          <a:off x="5378824" y="177237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55</xdr:col>
      <xdr:colOff>0</xdr:colOff>
      <xdr:row>91</xdr:row>
      <xdr:rowOff>85725</xdr:rowOff>
    </xdr:from>
    <xdr:to>
      <xdr:col>56</xdr:col>
      <xdr:colOff>685800</xdr:colOff>
      <xdr:row>91</xdr:row>
      <xdr:rowOff>85725</xdr:rowOff>
    </xdr:to>
    <xdr:sp macro="" textlink="">
      <xdr:nvSpPr>
        <xdr:cNvPr id="241" name="Line 27"/>
        <xdr:cNvSpPr>
          <a:spLocks noChangeShapeType="1"/>
        </xdr:cNvSpPr>
      </xdr:nvSpPr>
      <xdr:spPr bwMode="auto">
        <a:xfrm>
          <a:off x="5378824" y="179142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55</xdr:col>
      <xdr:colOff>0</xdr:colOff>
      <xdr:row>92</xdr:row>
      <xdr:rowOff>85725</xdr:rowOff>
    </xdr:from>
    <xdr:to>
      <xdr:col>56</xdr:col>
      <xdr:colOff>685800</xdr:colOff>
      <xdr:row>92</xdr:row>
      <xdr:rowOff>85725</xdr:rowOff>
    </xdr:to>
    <xdr:sp macro="" textlink="">
      <xdr:nvSpPr>
        <xdr:cNvPr id="242" name="Line 27"/>
        <xdr:cNvSpPr>
          <a:spLocks noChangeShapeType="1"/>
        </xdr:cNvSpPr>
      </xdr:nvSpPr>
      <xdr:spPr bwMode="auto">
        <a:xfrm>
          <a:off x="5378824" y="181047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55</xdr:col>
      <xdr:colOff>0</xdr:colOff>
      <xdr:row>93</xdr:row>
      <xdr:rowOff>85725</xdr:rowOff>
    </xdr:from>
    <xdr:to>
      <xdr:col>56</xdr:col>
      <xdr:colOff>685800</xdr:colOff>
      <xdr:row>93</xdr:row>
      <xdr:rowOff>85725</xdr:rowOff>
    </xdr:to>
    <xdr:sp macro="" textlink="">
      <xdr:nvSpPr>
        <xdr:cNvPr id="243" name="Line 27"/>
        <xdr:cNvSpPr>
          <a:spLocks noChangeShapeType="1"/>
        </xdr:cNvSpPr>
      </xdr:nvSpPr>
      <xdr:spPr bwMode="auto">
        <a:xfrm>
          <a:off x="5378824" y="18295284"/>
          <a:ext cx="1615888"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371475</xdr:colOff>
      <xdr:row>76</xdr:row>
      <xdr:rowOff>38100</xdr:rowOff>
    </xdr:from>
    <xdr:to>
      <xdr:col>65</xdr:col>
      <xdr:colOff>371475</xdr:colOff>
      <xdr:row>77</xdr:row>
      <xdr:rowOff>123825</xdr:rowOff>
    </xdr:to>
    <xdr:sp macro="" textlink="">
      <xdr:nvSpPr>
        <xdr:cNvPr id="58" name="Line 53"/>
        <xdr:cNvSpPr>
          <a:spLocks noChangeShapeType="1"/>
        </xdr:cNvSpPr>
      </xdr:nvSpPr>
      <xdr:spPr bwMode="auto">
        <a:xfrm>
          <a:off x="36049404" y="15005957"/>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371475</xdr:colOff>
      <xdr:row>76</xdr:row>
      <xdr:rowOff>38100</xdr:rowOff>
    </xdr:from>
    <xdr:to>
      <xdr:col>70</xdr:col>
      <xdr:colOff>371475</xdr:colOff>
      <xdr:row>76</xdr:row>
      <xdr:rowOff>38100</xdr:rowOff>
    </xdr:to>
    <xdr:sp macro="" textlink="">
      <xdr:nvSpPr>
        <xdr:cNvPr id="59" name="Line 1244"/>
        <xdr:cNvSpPr>
          <a:spLocks noChangeShapeType="1"/>
        </xdr:cNvSpPr>
      </xdr:nvSpPr>
      <xdr:spPr bwMode="auto">
        <a:xfrm>
          <a:off x="36049404" y="15005957"/>
          <a:ext cx="408214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371475</xdr:colOff>
      <xdr:row>75</xdr:row>
      <xdr:rowOff>9525</xdr:rowOff>
    </xdr:from>
    <xdr:to>
      <xdr:col>70</xdr:col>
      <xdr:colOff>371475</xdr:colOff>
      <xdr:row>76</xdr:row>
      <xdr:rowOff>38100</xdr:rowOff>
    </xdr:to>
    <xdr:sp macro="" textlink="">
      <xdr:nvSpPr>
        <xdr:cNvPr id="60" name="Line 1245"/>
        <xdr:cNvSpPr>
          <a:spLocks noChangeShapeType="1"/>
        </xdr:cNvSpPr>
      </xdr:nvSpPr>
      <xdr:spPr bwMode="auto">
        <a:xfrm flipH="1" flipV="1">
          <a:off x="40131546" y="14773275"/>
          <a:ext cx="0" cy="2326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371475</xdr:colOff>
      <xdr:row>76</xdr:row>
      <xdr:rowOff>76200</xdr:rowOff>
    </xdr:from>
    <xdr:to>
      <xdr:col>66</xdr:col>
      <xdr:colOff>371475</xdr:colOff>
      <xdr:row>77</xdr:row>
      <xdr:rowOff>114300</xdr:rowOff>
    </xdr:to>
    <xdr:sp macro="" textlink="">
      <xdr:nvSpPr>
        <xdr:cNvPr id="61" name="Line 53"/>
        <xdr:cNvSpPr>
          <a:spLocks noChangeShapeType="1"/>
        </xdr:cNvSpPr>
      </xdr:nvSpPr>
      <xdr:spPr bwMode="auto">
        <a:xfrm>
          <a:off x="36947475" y="15044057"/>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66</xdr:col>
      <xdr:colOff>371475</xdr:colOff>
      <xdr:row>76</xdr:row>
      <xdr:rowOff>76200</xdr:rowOff>
    </xdr:from>
    <xdr:to>
      <xdr:col>71</xdr:col>
      <xdr:colOff>371475</xdr:colOff>
      <xdr:row>76</xdr:row>
      <xdr:rowOff>76200</xdr:rowOff>
    </xdr:to>
    <xdr:sp macro="" textlink="">
      <xdr:nvSpPr>
        <xdr:cNvPr id="62" name="Line 1244"/>
        <xdr:cNvSpPr>
          <a:spLocks noChangeShapeType="1"/>
        </xdr:cNvSpPr>
      </xdr:nvSpPr>
      <xdr:spPr bwMode="auto">
        <a:xfrm>
          <a:off x="36947475" y="15044057"/>
          <a:ext cx="393246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371475</xdr:colOff>
      <xdr:row>75</xdr:row>
      <xdr:rowOff>19050</xdr:rowOff>
    </xdr:from>
    <xdr:to>
      <xdr:col>71</xdr:col>
      <xdr:colOff>381000</xdr:colOff>
      <xdr:row>76</xdr:row>
      <xdr:rowOff>76200</xdr:rowOff>
    </xdr:to>
    <xdr:sp macro="" textlink="">
      <xdr:nvSpPr>
        <xdr:cNvPr id="63" name="Line 1245"/>
        <xdr:cNvSpPr>
          <a:spLocks noChangeShapeType="1"/>
        </xdr:cNvSpPr>
      </xdr:nvSpPr>
      <xdr:spPr bwMode="auto">
        <a:xfrm flipV="1">
          <a:off x="40879939" y="14782800"/>
          <a:ext cx="9525" cy="2612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9525</xdr:colOff>
      <xdr:row>108</xdr:row>
      <xdr:rowOff>85725</xdr:rowOff>
    </xdr:from>
    <xdr:to>
      <xdr:col>68</xdr:col>
      <xdr:colOff>9525</xdr:colOff>
      <xdr:row>108</xdr:row>
      <xdr:rowOff>85725</xdr:rowOff>
    </xdr:to>
    <xdr:cxnSp macro="">
      <xdr:nvCxnSpPr>
        <xdr:cNvPr id="64" name="Suora nuoliyhdysviiva 48"/>
        <xdr:cNvCxnSpPr>
          <a:cxnSpLocks noChangeShapeType="1"/>
        </xdr:cNvCxnSpPr>
      </xdr:nvCxnSpPr>
      <xdr:spPr bwMode="auto">
        <a:xfrm>
          <a:off x="37415561" y="21067939"/>
          <a:ext cx="802821"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69</xdr:col>
      <xdr:colOff>0</xdr:colOff>
      <xdr:row>90</xdr:row>
      <xdr:rowOff>85725</xdr:rowOff>
    </xdr:from>
    <xdr:to>
      <xdr:col>70</xdr:col>
      <xdr:colOff>685800</xdr:colOff>
      <xdr:row>90</xdr:row>
      <xdr:rowOff>85725</xdr:rowOff>
    </xdr:to>
    <xdr:sp macro="" textlink="">
      <xdr:nvSpPr>
        <xdr:cNvPr id="65" name="Line 27"/>
        <xdr:cNvSpPr>
          <a:spLocks noChangeShapeType="1"/>
        </xdr:cNvSpPr>
      </xdr:nvSpPr>
      <xdr:spPr bwMode="auto">
        <a:xfrm>
          <a:off x="38821179" y="177614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0</xdr:colOff>
      <xdr:row>91</xdr:row>
      <xdr:rowOff>85725</xdr:rowOff>
    </xdr:from>
    <xdr:to>
      <xdr:col>70</xdr:col>
      <xdr:colOff>685800</xdr:colOff>
      <xdr:row>91</xdr:row>
      <xdr:rowOff>85725</xdr:rowOff>
    </xdr:to>
    <xdr:sp macro="" textlink="">
      <xdr:nvSpPr>
        <xdr:cNvPr id="66" name="Line 27"/>
        <xdr:cNvSpPr>
          <a:spLocks noChangeShapeType="1"/>
        </xdr:cNvSpPr>
      </xdr:nvSpPr>
      <xdr:spPr bwMode="auto">
        <a:xfrm>
          <a:off x="44029313" y="19361944"/>
          <a:ext cx="1614487"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0</xdr:colOff>
      <xdr:row>92</xdr:row>
      <xdr:rowOff>85725</xdr:rowOff>
    </xdr:from>
    <xdr:to>
      <xdr:col>70</xdr:col>
      <xdr:colOff>685800</xdr:colOff>
      <xdr:row>92</xdr:row>
      <xdr:rowOff>85725</xdr:rowOff>
    </xdr:to>
    <xdr:sp macro="" textlink="">
      <xdr:nvSpPr>
        <xdr:cNvPr id="67" name="Line 27"/>
        <xdr:cNvSpPr>
          <a:spLocks noChangeShapeType="1"/>
        </xdr:cNvSpPr>
      </xdr:nvSpPr>
      <xdr:spPr bwMode="auto">
        <a:xfrm>
          <a:off x="38821179" y="181424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0</xdr:colOff>
      <xdr:row>93</xdr:row>
      <xdr:rowOff>85725</xdr:rowOff>
    </xdr:from>
    <xdr:to>
      <xdr:col>70</xdr:col>
      <xdr:colOff>685800</xdr:colOff>
      <xdr:row>93</xdr:row>
      <xdr:rowOff>85725</xdr:rowOff>
    </xdr:to>
    <xdr:sp macro="" textlink="">
      <xdr:nvSpPr>
        <xdr:cNvPr id="68" name="Line 27"/>
        <xdr:cNvSpPr>
          <a:spLocks noChangeShapeType="1"/>
        </xdr:cNvSpPr>
      </xdr:nvSpPr>
      <xdr:spPr bwMode="auto">
        <a:xfrm>
          <a:off x="38821179" y="183329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371475</xdr:colOff>
      <xdr:row>195</xdr:row>
      <xdr:rowOff>38100</xdr:rowOff>
    </xdr:from>
    <xdr:to>
      <xdr:col>51</xdr:col>
      <xdr:colOff>371475</xdr:colOff>
      <xdr:row>196</xdr:row>
      <xdr:rowOff>123825</xdr:rowOff>
    </xdr:to>
    <xdr:sp macro="" textlink="">
      <xdr:nvSpPr>
        <xdr:cNvPr id="69" name="Line 53"/>
        <xdr:cNvSpPr>
          <a:spLocks noChangeShapeType="1"/>
        </xdr:cNvSpPr>
      </xdr:nvSpPr>
      <xdr:spPr bwMode="auto">
        <a:xfrm>
          <a:off x="36049404" y="15005957"/>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371475</xdr:colOff>
      <xdr:row>195</xdr:row>
      <xdr:rowOff>38100</xdr:rowOff>
    </xdr:from>
    <xdr:to>
      <xdr:col>56</xdr:col>
      <xdr:colOff>371475</xdr:colOff>
      <xdr:row>195</xdr:row>
      <xdr:rowOff>38100</xdr:rowOff>
    </xdr:to>
    <xdr:sp macro="" textlink="">
      <xdr:nvSpPr>
        <xdr:cNvPr id="70" name="Line 1244"/>
        <xdr:cNvSpPr>
          <a:spLocks noChangeShapeType="1"/>
        </xdr:cNvSpPr>
      </xdr:nvSpPr>
      <xdr:spPr bwMode="auto">
        <a:xfrm>
          <a:off x="36049404" y="15005957"/>
          <a:ext cx="408214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371475</xdr:colOff>
      <xdr:row>194</xdr:row>
      <xdr:rowOff>9525</xdr:rowOff>
    </xdr:from>
    <xdr:to>
      <xdr:col>56</xdr:col>
      <xdr:colOff>371475</xdr:colOff>
      <xdr:row>195</xdr:row>
      <xdr:rowOff>38100</xdr:rowOff>
    </xdr:to>
    <xdr:sp macro="" textlink="">
      <xdr:nvSpPr>
        <xdr:cNvPr id="71" name="Line 1245"/>
        <xdr:cNvSpPr>
          <a:spLocks noChangeShapeType="1"/>
        </xdr:cNvSpPr>
      </xdr:nvSpPr>
      <xdr:spPr bwMode="auto">
        <a:xfrm flipH="1" flipV="1">
          <a:off x="40131546" y="14773275"/>
          <a:ext cx="0" cy="2326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371475</xdr:colOff>
      <xdr:row>195</xdr:row>
      <xdr:rowOff>76200</xdr:rowOff>
    </xdr:from>
    <xdr:to>
      <xdr:col>52</xdr:col>
      <xdr:colOff>371475</xdr:colOff>
      <xdr:row>196</xdr:row>
      <xdr:rowOff>114300</xdr:rowOff>
    </xdr:to>
    <xdr:sp macro="" textlink="">
      <xdr:nvSpPr>
        <xdr:cNvPr id="72" name="Line 53"/>
        <xdr:cNvSpPr>
          <a:spLocks noChangeShapeType="1"/>
        </xdr:cNvSpPr>
      </xdr:nvSpPr>
      <xdr:spPr bwMode="auto">
        <a:xfrm>
          <a:off x="36947475" y="15044057"/>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371475</xdr:colOff>
      <xdr:row>195</xdr:row>
      <xdr:rowOff>76200</xdr:rowOff>
    </xdr:from>
    <xdr:to>
      <xdr:col>57</xdr:col>
      <xdr:colOff>371475</xdr:colOff>
      <xdr:row>195</xdr:row>
      <xdr:rowOff>76200</xdr:rowOff>
    </xdr:to>
    <xdr:sp macro="" textlink="">
      <xdr:nvSpPr>
        <xdr:cNvPr id="73" name="Line 1244"/>
        <xdr:cNvSpPr>
          <a:spLocks noChangeShapeType="1"/>
        </xdr:cNvSpPr>
      </xdr:nvSpPr>
      <xdr:spPr bwMode="auto">
        <a:xfrm>
          <a:off x="36947475" y="15044057"/>
          <a:ext cx="393246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371475</xdr:colOff>
      <xdr:row>194</xdr:row>
      <xdr:rowOff>19050</xdr:rowOff>
    </xdr:from>
    <xdr:to>
      <xdr:col>57</xdr:col>
      <xdr:colOff>381000</xdr:colOff>
      <xdr:row>195</xdr:row>
      <xdr:rowOff>76200</xdr:rowOff>
    </xdr:to>
    <xdr:sp macro="" textlink="">
      <xdr:nvSpPr>
        <xdr:cNvPr id="74" name="Line 1245"/>
        <xdr:cNvSpPr>
          <a:spLocks noChangeShapeType="1"/>
        </xdr:cNvSpPr>
      </xdr:nvSpPr>
      <xdr:spPr bwMode="auto">
        <a:xfrm flipV="1">
          <a:off x="40879939" y="14782800"/>
          <a:ext cx="9525" cy="2612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9525</xdr:colOff>
      <xdr:row>227</xdr:row>
      <xdr:rowOff>85725</xdr:rowOff>
    </xdr:from>
    <xdr:to>
      <xdr:col>54</xdr:col>
      <xdr:colOff>9525</xdr:colOff>
      <xdr:row>227</xdr:row>
      <xdr:rowOff>85725</xdr:rowOff>
    </xdr:to>
    <xdr:cxnSp macro="">
      <xdr:nvCxnSpPr>
        <xdr:cNvPr id="75" name="Suora nuoliyhdysviiva 48"/>
        <xdr:cNvCxnSpPr>
          <a:cxnSpLocks noChangeShapeType="1"/>
        </xdr:cNvCxnSpPr>
      </xdr:nvCxnSpPr>
      <xdr:spPr bwMode="auto">
        <a:xfrm>
          <a:off x="37415561" y="21067939"/>
          <a:ext cx="802821"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55</xdr:col>
      <xdr:colOff>0</xdr:colOff>
      <xdr:row>209</xdr:row>
      <xdr:rowOff>85725</xdr:rowOff>
    </xdr:from>
    <xdr:to>
      <xdr:col>56</xdr:col>
      <xdr:colOff>685800</xdr:colOff>
      <xdr:row>209</xdr:row>
      <xdr:rowOff>85725</xdr:rowOff>
    </xdr:to>
    <xdr:sp macro="" textlink="">
      <xdr:nvSpPr>
        <xdr:cNvPr id="76" name="Line 27"/>
        <xdr:cNvSpPr>
          <a:spLocks noChangeShapeType="1"/>
        </xdr:cNvSpPr>
      </xdr:nvSpPr>
      <xdr:spPr bwMode="auto">
        <a:xfrm>
          <a:off x="38821179" y="177614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55</xdr:col>
      <xdr:colOff>0</xdr:colOff>
      <xdr:row>210</xdr:row>
      <xdr:rowOff>85725</xdr:rowOff>
    </xdr:from>
    <xdr:to>
      <xdr:col>56</xdr:col>
      <xdr:colOff>685800</xdr:colOff>
      <xdr:row>210</xdr:row>
      <xdr:rowOff>85725</xdr:rowOff>
    </xdr:to>
    <xdr:sp macro="" textlink="">
      <xdr:nvSpPr>
        <xdr:cNvPr id="77" name="Line 27"/>
        <xdr:cNvSpPr>
          <a:spLocks noChangeShapeType="1"/>
        </xdr:cNvSpPr>
      </xdr:nvSpPr>
      <xdr:spPr bwMode="auto">
        <a:xfrm>
          <a:off x="38821179" y="179519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55</xdr:col>
      <xdr:colOff>0</xdr:colOff>
      <xdr:row>211</xdr:row>
      <xdr:rowOff>85725</xdr:rowOff>
    </xdr:from>
    <xdr:to>
      <xdr:col>56</xdr:col>
      <xdr:colOff>685800</xdr:colOff>
      <xdr:row>211</xdr:row>
      <xdr:rowOff>85725</xdr:rowOff>
    </xdr:to>
    <xdr:sp macro="" textlink="">
      <xdr:nvSpPr>
        <xdr:cNvPr id="78" name="Line 27"/>
        <xdr:cNvSpPr>
          <a:spLocks noChangeShapeType="1"/>
        </xdr:cNvSpPr>
      </xdr:nvSpPr>
      <xdr:spPr bwMode="auto">
        <a:xfrm>
          <a:off x="38821179" y="181424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55</xdr:col>
      <xdr:colOff>0</xdr:colOff>
      <xdr:row>212</xdr:row>
      <xdr:rowOff>85725</xdr:rowOff>
    </xdr:from>
    <xdr:to>
      <xdr:col>56</xdr:col>
      <xdr:colOff>685800</xdr:colOff>
      <xdr:row>212</xdr:row>
      <xdr:rowOff>85725</xdr:rowOff>
    </xdr:to>
    <xdr:sp macro="" textlink="">
      <xdr:nvSpPr>
        <xdr:cNvPr id="79" name="Line 27"/>
        <xdr:cNvSpPr>
          <a:spLocks noChangeShapeType="1"/>
        </xdr:cNvSpPr>
      </xdr:nvSpPr>
      <xdr:spPr bwMode="auto">
        <a:xfrm>
          <a:off x="38821179" y="183329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371475</xdr:colOff>
      <xdr:row>195</xdr:row>
      <xdr:rowOff>38100</xdr:rowOff>
    </xdr:from>
    <xdr:to>
      <xdr:col>65</xdr:col>
      <xdr:colOff>371475</xdr:colOff>
      <xdr:row>196</xdr:row>
      <xdr:rowOff>123825</xdr:rowOff>
    </xdr:to>
    <xdr:sp macro="" textlink="">
      <xdr:nvSpPr>
        <xdr:cNvPr id="80" name="Line 53"/>
        <xdr:cNvSpPr>
          <a:spLocks noChangeShapeType="1"/>
        </xdr:cNvSpPr>
      </xdr:nvSpPr>
      <xdr:spPr bwMode="auto">
        <a:xfrm>
          <a:off x="45288654" y="15005957"/>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371475</xdr:colOff>
      <xdr:row>195</xdr:row>
      <xdr:rowOff>38100</xdr:rowOff>
    </xdr:from>
    <xdr:to>
      <xdr:col>70</xdr:col>
      <xdr:colOff>371475</xdr:colOff>
      <xdr:row>195</xdr:row>
      <xdr:rowOff>38100</xdr:rowOff>
    </xdr:to>
    <xdr:sp macro="" textlink="">
      <xdr:nvSpPr>
        <xdr:cNvPr id="81" name="Line 1244"/>
        <xdr:cNvSpPr>
          <a:spLocks noChangeShapeType="1"/>
        </xdr:cNvSpPr>
      </xdr:nvSpPr>
      <xdr:spPr bwMode="auto">
        <a:xfrm>
          <a:off x="45288654" y="15005957"/>
          <a:ext cx="408214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371475</xdr:colOff>
      <xdr:row>194</xdr:row>
      <xdr:rowOff>9525</xdr:rowOff>
    </xdr:from>
    <xdr:to>
      <xdr:col>70</xdr:col>
      <xdr:colOff>371475</xdr:colOff>
      <xdr:row>195</xdr:row>
      <xdr:rowOff>38100</xdr:rowOff>
    </xdr:to>
    <xdr:sp macro="" textlink="">
      <xdr:nvSpPr>
        <xdr:cNvPr id="82" name="Line 1245"/>
        <xdr:cNvSpPr>
          <a:spLocks noChangeShapeType="1"/>
        </xdr:cNvSpPr>
      </xdr:nvSpPr>
      <xdr:spPr bwMode="auto">
        <a:xfrm flipH="1" flipV="1">
          <a:off x="49370796" y="14773275"/>
          <a:ext cx="0" cy="2326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371475</xdr:colOff>
      <xdr:row>195</xdr:row>
      <xdr:rowOff>76200</xdr:rowOff>
    </xdr:from>
    <xdr:to>
      <xdr:col>66</xdr:col>
      <xdr:colOff>371475</xdr:colOff>
      <xdr:row>196</xdr:row>
      <xdr:rowOff>114300</xdr:rowOff>
    </xdr:to>
    <xdr:sp macro="" textlink="">
      <xdr:nvSpPr>
        <xdr:cNvPr id="83" name="Line 53"/>
        <xdr:cNvSpPr>
          <a:spLocks noChangeShapeType="1"/>
        </xdr:cNvSpPr>
      </xdr:nvSpPr>
      <xdr:spPr bwMode="auto">
        <a:xfrm>
          <a:off x="46186725" y="15044057"/>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66</xdr:col>
      <xdr:colOff>371475</xdr:colOff>
      <xdr:row>195</xdr:row>
      <xdr:rowOff>76200</xdr:rowOff>
    </xdr:from>
    <xdr:to>
      <xdr:col>71</xdr:col>
      <xdr:colOff>371475</xdr:colOff>
      <xdr:row>195</xdr:row>
      <xdr:rowOff>76200</xdr:rowOff>
    </xdr:to>
    <xdr:sp macro="" textlink="">
      <xdr:nvSpPr>
        <xdr:cNvPr id="84" name="Line 1244"/>
        <xdr:cNvSpPr>
          <a:spLocks noChangeShapeType="1"/>
        </xdr:cNvSpPr>
      </xdr:nvSpPr>
      <xdr:spPr bwMode="auto">
        <a:xfrm>
          <a:off x="46186725" y="15044057"/>
          <a:ext cx="393246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371475</xdr:colOff>
      <xdr:row>194</xdr:row>
      <xdr:rowOff>19050</xdr:rowOff>
    </xdr:from>
    <xdr:to>
      <xdr:col>71</xdr:col>
      <xdr:colOff>381000</xdr:colOff>
      <xdr:row>195</xdr:row>
      <xdr:rowOff>76200</xdr:rowOff>
    </xdr:to>
    <xdr:sp macro="" textlink="">
      <xdr:nvSpPr>
        <xdr:cNvPr id="85" name="Line 1245"/>
        <xdr:cNvSpPr>
          <a:spLocks noChangeShapeType="1"/>
        </xdr:cNvSpPr>
      </xdr:nvSpPr>
      <xdr:spPr bwMode="auto">
        <a:xfrm flipV="1">
          <a:off x="50119189" y="14782800"/>
          <a:ext cx="9525" cy="2612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9525</xdr:colOff>
      <xdr:row>227</xdr:row>
      <xdr:rowOff>85725</xdr:rowOff>
    </xdr:from>
    <xdr:to>
      <xdr:col>68</xdr:col>
      <xdr:colOff>9525</xdr:colOff>
      <xdr:row>227</xdr:row>
      <xdr:rowOff>85725</xdr:rowOff>
    </xdr:to>
    <xdr:cxnSp macro="">
      <xdr:nvCxnSpPr>
        <xdr:cNvPr id="86" name="Suora nuoliyhdysviiva 48"/>
        <xdr:cNvCxnSpPr>
          <a:cxnSpLocks noChangeShapeType="1"/>
        </xdr:cNvCxnSpPr>
      </xdr:nvCxnSpPr>
      <xdr:spPr bwMode="auto">
        <a:xfrm>
          <a:off x="46654811" y="21067939"/>
          <a:ext cx="802821"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69</xdr:col>
      <xdr:colOff>0</xdr:colOff>
      <xdr:row>209</xdr:row>
      <xdr:rowOff>85725</xdr:rowOff>
    </xdr:from>
    <xdr:to>
      <xdr:col>70</xdr:col>
      <xdr:colOff>685800</xdr:colOff>
      <xdr:row>209</xdr:row>
      <xdr:rowOff>85725</xdr:rowOff>
    </xdr:to>
    <xdr:sp macro="" textlink="">
      <xdr:nvSpPr>
        <xdr:cNvPr id="87" name="Line 27"/>
        <xdr:cNvSpPr>
          <a:spLocks noChangeShapeType="1"/>
        </xdr:cNvSpPr>
      </xdr:nvSpPr>
      <xdr:spPr bwMode="auto">
        <a:xfrm>
          <a:off x="48060429" y="177614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0</xdr:colOff>
      <xdr:row>210</xdr:row>
      <xdr:rowOff>85725</xdr:rowOff>
    </xdr:from>
    <xdr:to>
      <xdr:col>70</xdr:col>
      <xdr:colOff>685800</xdr:colOff>
      <xdr:row>210</xdr:row>
      <xdr:rowOff>85725</xdr:rowOff>
    </xdr:to>
    <xdr:sp macro="" textlink="">
      <xdr:nvSpPr>
        <xdr:cNvPr id="88" name="Line 27"/>
        <xdr:cNvSpPr>
          <a:spLocks noChangeShapeType="1"/>
        </xdr:cNvSpPr>
      </xdr:nvSpPr>
      <xdr:spPr bwMode="auto">
        <a:xfrm>
          <a:off x="48060429" y="179519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0</xdr:colOff>
      <xdr:row>211</xdr:row>
      <xdr:rowOff>85725</xdr:rowOff>
    </xdr:from>
    <xdr:to>
      <xdr:col>70</xdr:col>
      <xdr:colOff>685800</xdr:colOff>
      <xdr:row>211</xdr:row>
      <xdr:rowOff>85725</xdr:rowOff>
    </xdr:to>
    <xdr:sp macro="" textlink="">
      <xdr:nvSpPr>
        <xdr:cNvPr id="89" name="Line 27"/>
        <xdr:cNvSpPr>
          <a:spLocks noChangeShapeType="1"/>
        </xdr:cNvSpPr>
      </xdr:nvSpPr>
      <xdr:spPr bwMode="auto">
        <a:xfrm>
          <a:off x="48060429" y="181424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0</xdr:colOff>
      <xdr:row>212</xdr:row>
      <xdr:rowOff>85725</xdr:rowOff>
    </xdr:from>
    <xdr:to>
      <xdr:col>70</xdr:col>
      <xdr:colOff>685800</xdr:colOff>
      <xdr:row>212</xdr:row>
      <xdr:rowOff>85725</xdr:rowOff>
    </xdr:to>
    <xdr:sp macro="" textlink="">
      <xdr:nvSpPr>
        <xdr:cNvPr id="90" name="Line 27"/>
        <xdr:cNvSpPr>
          <a:spLocks noChangeShapeType="1"/>
        </xdr:cNvSpPr>
      </xdr:nvSpPr>
      <xdr:spPr bwMode="auto">
        <a:xfrm>
          <a:off x="48060429" y="18332904"/>
          <a:ext cx="16246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57150</xdr:colOff>
          <xdr:row>16</xdr:row>
          <xdr:rowOff>171450</xdr:rowOff>
        </xdr:from>
        <xdr:to>
          <xdr:col>4</xdr:col>
          <xdr:colOff>428625</xdr:colOff>
          <xdr:row>18</xdr:row>
          <xdr:rowOff>38100</xdr:rowOff>
        </xdr:to>
        <xdr:sp macro="" textlink="">
          <xdr:nvSpPr>
            <xdr:cNvPr id="28791" name="Check Box 1143" hidden="1">
              <a:extLst>
                <a:ext uri="{63B3BB69-23CF-44E3-9099-C40C66FF867C}">
                  <a14:compatExt spid="_x0000_s28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342900</xdr:colOff>
          <xdr:row>3</xdr:row>
          <xdr:rowOff>0</xdr:rowOff>
        </xdr:from>
        <xdr:to>
          <xdr:col>3</xdr:col>
          <xdr:colOff>0</xdr:colOff>
          <xdr:row>4</xdr:row>
          <xdr:rowOff>28575</xdr:rowOff>
        </xdr:to>
        <xdr:sp macro="" textlink="">
          <xdr:nvSpPr>
            <xdr:cNvPr id="10347" name="Option Button 107"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xdr:row>
          <xdr:rowOff>0</xdr:rowOff>
        </xdr:from>
        <xdr:to>
          <xdr:col>3</xdr:col>
          <xdr:colOff>685800</xdr:colOff>
          <xdr:row>4</xdr:row>
          <xdr:rowOff>28575</xdr:rowOff>
        </xdr:to>
        <xdr:sp macro="" textlink="">
          <xdr:nvSpPr>
            <xdr:cNvPr id="10348" name="Option Button 108"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xdr:row>
          <xdr:rowOff>0</xdr:rowOff>
        </xdr:from>
        <xdr:to>
          <xdr:col>4</xdr:col>
          <xdr:colOff>714375</xdr:colOff>
          <xdr:row>4</xdr:row>
          <xdr:rowOff>28575</xdr:rowOff>
        </xdr:to>
        <xdr:sp macro="" textlink="">
          <xdr:nvSpPr>
            <xdr:cNvPr id="10349" name="Option Button 109"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19</xdr:row>
          <xdr:rowOff>180975</xdr:rowOff>
        </xdr:from>
        <xdr:to>
          <xdr:col>26</xdr:col>
          <xdr:colOff>0</xdr:colOff>
          <xdr:row>20</xdr:row>
          <xdr:rowOff>171450</xdr:rowOff>
        </xdr:to>
        <xdr:sp macro="" textlink="">
          <xdr:nvSpPr>
            <xdr:cNvPr id="10354" name="Scroll Bar 114" hidden="1">
              <a:extLst>
                <a:ext uri="{63B3BB69-23CF-44E3-9099-C40C66FF867C}">
                  <a14:compatExt spid="_x0000_s1035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0</xdr:rowOff>
        </xdr:from>
        <xdr:to>
          <xdr:col>26</xdr:col>
          <xdr:colOff>9525</xdr:colOff>
          <xdr:row>33</xdr:row>
          <xdr:rowOff>180975</xdr:rowOff>
        </xdr:to>
        <xdr:sp macro="" textlink="">
          <xdr:nvSpPr>
            <xdr:cNvPr id="10355" name="Scroll Bar 115" hidden="1">
              <a:extLst>
                <a:ext uri="{63B3BB69-23CF-44E3-9099-C40C66FF867C}">
                  <a14:compatExt spid="_x0000_s1035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20</xdr:row>
          <xdr:rowOff>0</xdr:rowOff>
        </xdr:from>
        <xdr:to>
          <xdr:col>33</xdr:col>
          <xdr:colOff>0</xdr:colOff>
          <xdr:row>20</xdr:row>
          <xdr:rowOff>180975</xdr:rowOff>
        </xdr:to>
        <xdr:sp macro="" textlink="">
          <xdr:nvSpPr>
            <xdr:cNvPr id="10356" name="Scroll Bar 116" hidden="1">
              <a:extLst>
                <a:ext uri="{63B3BB69-23CF-44E3-9099-C40C66FF867C}">
                  <a14:compatExt spid="_x0000_s1035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33</xdr:row>
          <xdr:rowOff>0</xdr:rowOff>
        </xdr:from>
        <xdr:to>
          <xdr:col>33</xdr:col>
          <xdr:colOff>19050</xdr:colOff>
          <xdr:row>33</xdr:row>
          <xdr:rowOff>180975</xdr:rowOff>
        </xdr:to>
        <xdr:sp macro="" textlink="">
          <xdr:nvSpPr>
            <xdr:cNvPr id="10357" name="Scroll Bar 117" hidden="1">
              <a:extLst>
                <a:ext uri="{63B3BB69-23CF-44E3-9099-C40C66FF867C}">
                  <a14:compatExt spid="_x0000_s10357"/>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10</xdr:row>
          <xdr:rowOff>19050</xdr:rowOff>
        </xdr:from>
        <xdr:to>
          <xdr:col>0</xdr:col>
          <xdr:colOff>428625</xdr:colOff>
          <xdr:row>10</xdr:row>
          <xdr:rowOff>161925</xdr:rowOff>
        </xdr:to>
        <xdr:sp macro="" textlink="">
          <xdr:nvSpPr>
            <xdr:cNvPr id="4239" name="Check Box 143" hidden="1">
              <a:extLst>
                <a:ext uri="{63B3BB69-23CF-44E3-9099-C40C66FF867C}">
                  <a14:compatExt spid="_x0000_s4239"/>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xdr:row>
          <xdr:rowOff>19050</xdr:rowOff>
        </xdr:from>
        <xdr:to>
          <xdr:col>0</xdr:col>
          <xdr:colOff>428625</xdr:colOff>
          <xdr:row>11</xdr:row>
          <xdr:rowOff>161925</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12</xdr:row>
          <xdr:rowOff>19050</xdr:rowOff>
        </xdr:from>
        <xdr:to>
          <xdr:col>0</xdr:col>
          <xdr:colOff>428625</xdr:colOff>
          <xdr:row>12</xdr:row>
          <xdr:rowOff>161925</xdr:rowOff>
        </xdr:to>
        <xdr:sp macro="" textlink="">
          <xdr:nvSpPr>
            <xdr:cNvPr id="4241" name="Check Box 145" hidden="1">
              <a:extLst>
                <a:ext uri="{63B3BB69-23CF-44E3-9099-C40C66FF867C}">
                  <a14:compatExt spid="_x0000_s4241"/>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xdr:row>
          <xdr:rowOff>0</xdr:rowOff>
        </xdr:from>
        <xdr:to>
          <xdr:col>0</xdr:col>
          <xdr:colOff>438150</xdr:colOff>
          <xdr:row>7</xdr:row>
          <xdr:rowOff>171450</xdr:rowOff>
        </xdr:to>
        <xdr:sp macro="" textlink="">
          <xdr:nvSpPr>
            <xdr:cNvPr id="4252" name="Option Button 156" hidden="1">
              <a:extLst>
                <a:ext uri="{63B3BB69-23CF-44E3-9099-C40C66FF867C}">
                  <a14:compatExt spid="_x0000_s4252"/>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9525</xdr:rowOff>
        </xdr:from>
        <xdr:to>
          <xdr:col>0</xdr:col>
          <xdr:colOff>438150</xdr:colOff>
          <xdr:row>8</xdr:row>
          <xdr:rowOff>152400</xdr:rowOff>
        </xdr:to>
        <xdr:sp macro="" textlink="">
          <xdr:nvSpPr>
            <xdr:cNvPr id="4253" name="Option Button 157" hidden="1">
              <a:extLst>
                <a:ext uri="{63B3BB69-23CF-44E3-9099-C40C66FF867C}">
                  <a14:compatExt spid="_x0000_s4253"/>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9525</xdr:colOff>
          <xdr:row>9</xdr:row>
          <xdr:rowOff>9525</xdr:rowOff>
        </xdr:to>
        <xdr:sp macro="" textlink="">
          <xdr:nvSpPr>
            <xdr:cNvPr id="4257" name="Drop Down 161" hidden="1">
              <a:extLst>
                <a:ext uri="{63B3BB69-23CF-44E3-9099-C40C66FF867C}">
                  <a14:compatExt spid="_x0000_s4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13</xdr:row>
          <xdr:rowOff>19050</xdr:rowOff>
        </xdr:from>
        <xdr:to>
          <xdr:col>0</xdr:col>
          <xdr:colOff>438150</xdr:colOff>
          <xdr:row>13</xdr:row>
          <xdr:rowOff>161925</xdr:rowOff>
        </xdr:to>
        <xdr:sp macro="" textlink="">
          <xdr:nvSpPr>
            <xdr:cNvPr id="4272" name="Check Box 176" hidden="1">
              <a:extLst>
                <a:ext uri="{63B3BB69-23CF-44E3-9099-C40C66FF867C}">
                  <a14:compatExt spid="_x0000_s4272"/>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14</xdr:row>
          <xdr:rowOff>19050</xdr:rowOff>
        </xdr:from>
        <xdr:to>
          <xdr:col>0</xdr:col>
          <xdr:colOff>438150</xdr:colOff>
          <xdr:row>14</xdr:row>
          <xdr:rowOff>161925</xdr:rowOff>
        </xdr:to>
        <xdr:sp macro="" textlink="">
          <xdr:nvSpPr>
            <xdr:cNvPr id="4273" name="Check Box 177" hidden="1">
              <a:extLst>
                <a:ext uri="{63B3BB69-23CF-44E3-9099-C40C66FF867C}">
                  <a14:compatExt spid="_x0000_s4273"/>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9525</xdr:colOff>
          <xdr:row>8</xdr:row>
          <xdr:rowOff>9525</xdr:rowOff>
        </xdr:to>
        <xdr:sp macro="" textlink="">
          <xdr:nvSpPr>
            <xdr:cNvPr id="4316" name="Drop Down 220" hidden="1">
              <a:extLst>
                <a:ext uri="{63B3BB69-23CF-44E3-9099-C40C66FF867C}">
                  <a14:compatExt spid="_x0000_s4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190500</xdr:colOff>
      <xdr:row>24</xdr:row>
      <xdr:rowOff>200024</xdr:rowOff>
    </xdr:from>
    <xdr:to>
      <xdr:col>9</xdr:col>
      <xdr:colOff>47625</xdr:colOff>
      <xdr:row>43</xdr:row>
      <xdr:rowOff>180974</xdr:rowOff>
    </xdr:to>
    <xdr:graphicFrame macro="">
      <xdr:nvGraphicFramePr>
        <xdr:cNvPr id="3" name="Kaavi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omments" Target="../comments9.xml"/><Relationship Id="rId3" Type="http://schemas.openxmlformats.org/officeDocument/2006/relationships/vmlDrawing" Target="../drawings/vmlDrawing9.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omments" Target="../comments3.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5"/>
  <sheetViews>
    <sheetView tabSelected="1" zoomScaleNormal="100" workbookViewId="0">
      <selection activeCell="C23" sqref="C23"/>
    </sheetView>
  </sheetViews>
  <sheetFormatPr defaultRowHeight="15" x14ac:dyDescent="0.25"/>
  <cols>
    <col min="1" max="1" width="11.85546875" style="9" customWidth="1"/>
    <col min="2" max="2" width="25.5703125" style="9" bestFit="1" customWidth="1"/>
    <col min="3" max="3" width="11.85546875" style="9" customWidth="1"/>
    <col min="4" max="5" width="9.140625" style="9"/>
    <col min="6" max="6" width="26.28515625" style="9" bestFit="1" customWidth="1"/>
    <col min="7" max="7" width="10.28515625" style="9" customWidth="1"/>
    <col min="8" max="8" width="9.5703125" style="9" customWidth="1"/>
    <col min="9" max="9" width="9.28515625" style="9" customWidth="1"/>
    <col min="10" max="10" width="26.28515625" style="9" bestFit="1" customWidth="1"/>
    <col min="11" max="11" width="10" style="9" customWidth="1"/>
    <col min="12" max="12" width="9.140625" style="9" customWidth="1"/>
    <col min="13" max="13" width="9.28515625" style="9" customWidth="1"/>
    <col min="14" max="14" width="26.28515625" style="9" bestFit="1" customWidth="1"/>
    <col min="15" max="15" width="11.28515625" style="9" customWidth="1"/>
    <col min="16" max="16" width="7.28515625" style="9" customWidth="1"/>
    <col min="17" max="17" width="7.140625" style="9" customWidth="1"/>
    <col min="18" max="18" width="26.28515625" style="9" bestFit="1" customWidth="1"/>
    <col min="19" max="19" width="10.28515625" style="9" customWidth="1"/>
    <col min="20" max="20" width="9.140625" style="9" hidden="1" customWidth="1"/>
    <col min="21" max="16384" width="9.140625" style="9"/>
  </cols>
  <sheetData>
    <row r="1" spans="1:20" ht="15" customHeight="1" x14ac:dyDescent="0.25">
      <c r="A1" s="402" t="s">
        <v>266</v>
      </c>
      <c r="B1" s="403"/>
    </row>
    <row r="2" spans="1:20" ht="15" customHeight="1" x14ac:dyDescent="0.25">
      <c r="A2" s="404"/>
    </row>
    <row r="3" spans="1:20" x14ac:dyDescent="0.25">
      <c r="B3" s="405" t="s">
        <v>42</v>
      </c>
      <c r="C3" s="423"/>
      <c r="D3" s="423"/>
      <c r="E3" s="423"/>
      <c r="F3" s="423"/>
    </row>
    <row r="4" spans="1:20" x14ac:dyDescent="0.25">
      <c r="B4" s="405" t="s">
        <v>43</v>
      </c>
      <c r="C4" s="423"/>
      <c r="D4" s="423"/>
      <c r="E4" s="423"/>
      <c r="F4" s="423"/>
    </row>
    <row r="5" spans="1:20" x14ac:dyDescent="0.25">
      <c r="J5" s="405" t="s">
        <v>286</v>
      </c>
      <c r="N5" s="405" t="s">
        <v>224</v>
      </c>
      <c r="R5" s="405" t="s">
        <v>224</v>
      </c>
    </row>
    <row r="6" spans="1:20" x14ac:dyDescent="0.25">
      <c r="B6" s="405" t="s">
        <v>41</v>
      </c>
      <c r="F6" s="405" t="s">
        <v>285</v>
      </c>
      <c r="J6" s="405" t="s">
        <v>287</v>
      </c>
      <c r="N6" s="405" t="s">
        <v>225</v>
      </c>
      <c r="R6" s="405" t="s">
        <v>226</v>
      </c>
    </row>
    <row r="7" spans="1:20" x14ac:dyDescent="0.25">
      <c r="B7" s="406"/>
      <c r="C7" s="406" t="s">
        <v>1</v>
      </c>
      <c r="F7" s="406"/>
      <c r="G7" s="406" t="s">
        <v>1</v>
      </c>
      <c r="J7" s="406"/>
      <c r="K7" s="406" t="s">
        <v>1</v>
      </c>
      <c r="N7" s="406"/>
      <c r="O7" s="406" t="s">
        <v>1</v>
      </c>
      <c r="R7" s="406"/>
      <c r="S7" s="406" t="s">
        <v>1</v>
      </c>
    </row>
    <row r="8" spans="1:20" x14ac:dyDescent="0.25">
      <c r="B8" s="406" t="s">
        <v>0</v>
      </c>
      <c r="C8" s="424"/>
      <c r="F8" s="406" t="s">
        <v>0</v>
      </c>
      <c r="G8" s="407" t="e">
        <f ca="1">Ruokinta!W9</f>
        <v>#N/A</v>
      </c>
      <c r="J8" s="406" t="s">
        <v>0</v>
      </c>
      <c r="K8" s="407" t="e">
        <f ca="1">Ruokinta!AK9</f>
        <v>#N/A</v>
      </c>
      <c r="N8" s="406" t="s">
        <v>0</v>
      </c>
      <c r="O8" s="408">
        <f>C8+'Tilan tarve'!X21</f>
        <v>0</v>
      </c>
      <c r="R8" s="406" t="s">
        <v>0</v>
      </c>
      <c r="S8" s="408">
        <f>C8+'Tilan tarve'!AE21</f>
        <v>0</v>
      </c>
    </row>
    <row r="9" spans="1:20" x14ac:dyDescent="0.25">
      <c r="B9" s="406" t="s">
        <v>275</v>
      </c>
      <c r="C9" s="424"/>
      <c r="F9" s="406" t="s">
        <v>275</v>
      </c>
      <c r="G9" s="409">
        <f>C9</f>
        <v>0</v>
      </c>
      <c r="J9" s="406" t="s">
        <v>275</v>
      </c>
      <c r="K9" s="410">
        <f>C9</f>
        <v>0</v>
      </c>
      <c r="N9" s="406" t="s">
        <v>275</v>
      </c>
      <c r="O9" s="410">
        <f>C9</f>
        <v>0</v>
      </c>
      <c r="R9" s="406" t="s">
        <v>275</v>
      </c>
      <c r="S9" s="410">
        <f>C9</f>
        <v>0</v>
      </c>
    </row>
    <row r="10" spans="1:20" x14ac:dyDescent="0.25">
      <c r="B10" s="411" t="s">
        <v>123</v>
      </c>
      <c r="C10" s="408">
        <f>ROUND(C8*C9,0)</f>
        <v>0</v>
      </c>
      <c r="F10" s="411" t="s">
        <v>123</v>
      </c>
      <c r="G10" s="408" t="e">
        <f ca="1">ROUND(G8*G9,0)</f>
        <v>#N/A</v>
      </c>
      <c r="J10" s="411" t="s">
        <v>123</v>
      </c>
      <c r="K10" s="408" t="e">
        <f ca="1">ROUND(K8*K9*K23,0)</f>
        <v>#N/A</v>
      </c>
      <c r="N10" s="411" t="s">
        <v>123</v>
      </c>
      <c r="O10" s="408">
        <f>ROUND(O8*O9,0)</f>
        <v>0</v>
      </c>
      <c r="R10" s="411" t="s">
        <v>123</v>
      </c>
      <c r="S10" s="408">
        <f>ROUND(S8*S9*S23,0)</f>
        <v>0</v>
      </c>
    </row>
    <row r="11" spans="1:20" x14ac:dyDescent="0.25">
      <c r="B11" s="406" t="s">
        <v>122</v>
      </c>
      <c r="C11" s="425"/>
      <c r="F11" s="406" t="s">
        <v>122</v>
      </c>
      <c r="G11" s="412">
        <f>C11</f>
        <v>0</v>
      </c>
      <c r="J11" s="406" t="s">
        <v>122</v>
      </c>
      <c r="K11" s="412">
        <f>C11</f>
        <v>0</v>
      </c>
      <c r="N11" s="406" t="s">
        <v>122</v>
      </c>
      <c r="O11" s="412">
        <f>C11</f>
        <v>0</v>
      </c>
      <c r="R11" s="406" t="s">
        <v>122</v>
      </c>
      <c r="S11" s="412">
        <f>C11</f>
        <v>0</v>
      </c>
    </row>
    <row r="12" spans="1:20" x14ac:dyDescent="0.25">
      <c r="B12" s="406" t="s">
        <v>254</v>
      </c>
      <c r="C12" s="408">
        <f>ROUND(C10*(100%-C11),0)</f>
        <v>0</v>
      </c>
      <c r="F12" s="406" t="s">
        <v>254</v>
      </c>
      <c r="G12" s="408" t="e">
        <f ca="1">ROUND(G10*(100%-G11),0)</f>
        <v>#N/A</v>
      </c>
      <c r="J12" s="406" t="s">
        <v>254</v>
      </c>
      <c r="K12" s="408" t="e">
        <f ca="1">ROUND((K10*(100%-K11)),0)</f>
        <v>#N/A</v>
      </c>
      <c r="N12" s="406" t="s">
        <v>254</v>
      </c>
      <c r="O12" s="408">
        <f>ROUND(O10*(100%-O11),0)</f>
        <v>0</v>
      </c>
      <c r="R12" s="406" t="s">
        <v>254</v>
      </c>
      <c r="S12" s="408">
        <f>ROUND(S10*(100%-S11),0)</f>
        <v>0</v>
      </c>
    </row>
    <row r="13" spans="1:20" x14ac:dyDescent="0.25">
      <c r="B13" s="406" t="s">
        <v>255</v>
      </c>
      <c r="C13" s="408" t="e">
        <f>INT(C12/C22)</f>
        <v>#DIV/0!</v>
      </c>
      <c r="F13" s="406" t="s">
        <v>255</v>
      </c>
      <c r="G13" s="408" t="e">
        <f ca="1">INT(G12/G22)</f>
        <v>#N/A</v>
      </c>
      <c r="J13" s="406" t="s">
        <v>255</v>
      </c>
      <c r="K13" s="408" t="e">
        <f ca="1">INT(K12/K23)</f>
        <v>#N/A</v>
      </c>
      <c r="N13" s="406" t="s">
        <v>255</v>
      </c>
      <c r="O13" s="408" t="e">
        <f>INT(O12/O22)</f>
        <v>#DIV/0!</v>
      </c>
      <c r="R13" s="406" t="s">
        <v>255</v>
      </c>
      <c r="S13" s="408">
        <f>INT(S12/S23)</f>
        <v>0</v>
      </c>
    </row>
    <row r="15" spans="1:20" x14ac:dyDescent="0.25">
      <c r="B15" s="406" t="s">
        <v>164</v>
      </c>
      <c r="C15" s="426"/>
      <c r="F15" s="406" t="s">
        <v>164</v>
      </c>
      <c r="G15" s="413">
        <f>C15</f>
        <v>0</v>
      </c>
      <c r="J15" s="406" t="s">
        <v>164</v>
      </c>
      <c r="K15" s="413">
        <f>C15</f>
        <v>0</v>
      </c>
      <c r="N15" s="406" t="s">
        <v>164</v>
      </c>
      <c r="O15" s="413">
        <f>C15</f>
        <v>0</v>
      </c>
      <c r="R15" s="406" t="str">
        <f>N15</f>
        <v>Uudistus%</v>
      </c>
      <c r="S15" s="413">
        <f>C15</f>
        <v>0</v>
      </c>
      <c r="T15" s="9" t="s">
        <v>263</v>
      </c>
    </row>
    <row r="16" spans="1:20" x14ac:dyDescent="0.25">
      <c r="B16" s="406" t="s">
        <v>174</v>
      </c>
      <c r="C16" s="409">
        <f>ROUND(C8*C15,0)</f>
        <v>0</v>
      </c>
      <c r="F16" s="406" t="s">
        <v>174</v>
      </c>
      <c r="G16" s="409" t="e">
        <f ca="1">ROUND(G8*G15,0)</f>
        <v>#N/A</v>
      </c>
      <c r="J16" s="406" t="s">
        <v>174</v>
      </c>
      <c r="K16" s="409" t="e">
        <f ca="1">ROUND(K8*K15,0)</f>
        <v>#N/A</v>
      </c>
      <c r="N16" s="406" t="s">
        <v>174</v>
      </c>
      <c r="O16" s="409">
        <f>ROUND(O8*O15,0)</f>
        <v>0</v>
      </c>
      <c r="R16" s="406" t="s">
        <v>174</v>
      </c>
      <c r="S16" s="409">
        <f>ROUND(S8*S15,0)</f>
        <v>0</v>
      </c>
      <c r="T16" s="9">
        <f>INT(S8*S15)</f>
        <v>0</v>
      </c>
    </row>
    <row r="17" spans="2:20" x14ac:dyDescent="0.25">
      <c r="B17" s="406" t="s">
        <v>175</v>
      </c>
      <c r="C17" s="408">
        <f>C12-C16-C18-C19</f>
        <v>0</v>
      </c>
      <c r="F17" s="406" t="s">
        <v>175</v>
      </c>
      <c r="G17" s="414"/>
      <c r="J17" s="406" t="s">
        <v>175</v>
      </c>
      <c r="K17" s="408" t="e">
        <f ca="1">K12*(G17/G12)</f>
        <v>#N/A</v>
      </c>
      <c r="N17" s="406" t="s">
        <v>175</v>
      </c>
      <c r="O17" s="408" t="e">
        <f ca="1">O12*(G17/G12)</f>
        <v>#N/A</v>
      </c>
      <c r="R17" s="406" t="s">
        <v>175</v>
      </c>
      <c r="S17" s="408" t="e">
        <f ca="1">S12*(G17/G12)</f>
        <v>#N/A</v>
      </c>
      <c r="T17" s="415" t="e">
        <f ca="1">INT(S17/S12*S13)</f>
        <v>#N/A</v>
      </c>
    </row>
    <row r="18" spans="2:20" x14ac:dyDescent="0.25">
      <c r="B18" s="406" t="s">
        <v>303</v>
      </c>
      <c r="C18" s="427"/>
      <c r="F18" s="406" t="s">
        <v>277</v>
      </c>
      <c r="G18" s="408" t="e">
        <f ca="1">G12-G16-G17</f>
        <v>#N/A</v>
      </c>
      <c r="J18" s="406" t="s">
        <v>277</v>
      </c>
      <c r="K18" s="408" t="e">
        <f ca="1">K12-K16-K17</f>
        <v>#N/A</v>
      </c>
      <c r="N18" s="406" t="s">
        <v>277</v>
      </c>
      <c r="O18" s="408" t="e">
        <f ca="1">O12-O16-O17</f>
        <v>#N/A</v>
      </c>
      <c r="R18" s="406" t="s">
        <v>277</v>
      </c>
      <c r="S18" s="408" t="e">
        <f ca="1">S12-S16-S17</f>
        <v>#N/A</v>
      </c>
      <c r="T18" s="415" t="e">
        <f ca="1">INT(S13-T16-T17)</f>
        <v>#N/A</v>
      </c>
    </row>
    <row r="19" spans="2:20" x14ac:dyDescent="0.25">
      <c r="B19" s="406" t="s">
        <v>276</v>
      </c>
      <c r="C19" s="427"/>
      <c r="F19" s="406" t="s">
        <v>276</v>
      </c>
      <c r="G19" s="408" t="e">
        <f ca="1">$C$19/$C$12*G12</f>
        <v>#DIV/0!</v>
      </c>
      <c r="J19" s="406" t="s">
        <v>276</v>
      </c>
      <c r="K19" s="408" t="e">
        <f ca="1">$C$19/$C$12*K12</f>
        <v>#DIV/0!</v>
      </c>
      <c r="N19" s="406" t="s">
        <v>276</v>
      </c>
      <c r="O19" s="408" t="e">
        <f>$C$19/$C$12*O12</f>
        <v>#DIV/0!</v>
      </c>
      <c r="R19" s="406" t="s">
        <v>276</v>
      </c>
      <c r="S19" s="408" t="e">
        <f>$C$19/$C$12*S12</f>
        <v>#DIV/0!</v>
      </c>
      <c r="T19" s="415"/>
    </row>
    <row r="21" spans="2:20" x14ac:dyDescent="0.25">
      <c r="B21" s="406" t="s">
        <v>183</v>
      </c>
      <c r="C21" s="427"/>
      <c r="F21" s="406" t="s">
        <v>183</v>
      </c>
      <c r="G21" s="408">
        <f>C21</f>
        <v>0</v>
      </c>
      <c r="J21" s="406" t="s">
        <v>183</v>
      </c>
      <c r="K21" s="408">
        <f>C21</f>
        <v>0</v>
      </c>
      <c r="N21" s="406" t="s">
        <v>183</v>
      </c>
      <c r="O21" s="408">
        <f>C21</f>
        <v>0</v>
      </c>
      <c r="R21" s="406" t="s">
        <v>183</v>
      </c>
      <c r="S21" s="408">
        <f>C21</f>
        <v>0</v>
      </c>
    </row>
    <row r="22" spans="2:20" x14ac:dyDescent="0.25">
      <c r="B22" s="406" t="s">
        <v>187</v>
      </c>
      <c r="C22" s="427"/>
      <c r="F22" s="406" t="s">
        <v>187</v>
      </c>
      <c r="G22" s="408">
        <f>C22</f>
        <v>0</v>
      </c>
      <c r="J22" s="406" t="s">
        <v>187</v>
      </c>
      <c r="K22" s="416">
        <v>3</v>
      </c>
      <c r="N22" s="406" t="s">
        <v>187</v>
      </c>
      <c r="O22" s="408">
        <f>C22</f>
        <v>0</v>
      </c>
      <c r="R22" s="406" t="s">
        <v>187</v>
      </c>
      <c r="S22" s="408">
        <f>K22</f>
        <v>3</v>
      </c>
    </row>
    <row r="23" spans="2:20" x14ac:dyDescent="0.25">
      <c r="B23" s="406" t="s">
        <v>208</v>
      </c>
      <c r="C23" s="427"/>
      <c r="F23" s="406" t="s">
        <v>208</v>
      </c>
      <c r="G23" s="408">
        <f>C23</f>
        <v>0</v>
      </c>
      <c r="J23" s="406" t="s">
        <v>260</v>
      </c>
      <c r="K23" s="410">
        <v>1.3</v>
      </c>
      <c r="N23" s="406" t="s">
        <v>208</v>
      </c>
      <c r="O23" s="408">
        <f>C23</f>
        <v>0</v>
      </c>
      <c r="R23" s="406" t="s">
        <v>260</v>
      </c>
      <c r="S23" s="410">
        <v>1.3</v>
      </c>
    </row>
    <row r="24" spans="2:20" x14ac:dyDescent="0.25">
      <c r="B24" s="406" t="s">
        <v>209</v>
      </c>
      <c r="C24" s="427"/>
      <c r="F24" s="406" t="s">
        <v>209</v>
      </c>
      <c r="G24" s="408" t="e">
        <f ca="1">G8*$C$24/$C$8</f>
        <v>#N/A</v>
      </c>
      <c r="J24" s="406" t="s">
        <v>208</v>
      </c>
      <c r="K24" s="408">
        <f>C23</f>
        <v>0</v>
      </c>
      <c r="N24" s="406" t="s">
        <v>209</v>
      </c>
      <c r="O24" s="408" t="e">
        <f>O8*$C$24/$C$8</f>
        <v>#DIV/0!</v>
      </c>
      <c r="R24" s="406" t="s">
        <v>208</v>
      </c>
      <c r="S24" s="408">
        <f>C23</f>
        <v>0</v>
      </c>
    </row>
    <row r="25" spans="2:20" x14ac:dyDescent="0.25">
      <c r="J25" s="406" t="s">
        <v>209</v>
      </c>
      <c r="K25" s="408" t="e">
        <f ca="1">K8*$C$24/$C$8</f>
        <v>#N/A</v>
      </c>
      <c r="R25" s="406" t="s">
        <v>209</v>
      </c>
      <c r="S25" s="408" t="e">
        <f>S8*$C$24/$C$8</f>
        <v>#DIV/0!</v>
      </c>
    </row>
    <row r="26" spans="2:20" x14ac:dyDescent="0.25">
      <c r="B26" s="406" t="s">
        <v>229</v>
      </c>
      <c r="C26" s="427"/>
      <c r="F26" s="406" t="s">
        <v>229</v>
      </c>
      <c r="G26" s="408" t="e">
        <f ca="1">ROUND(C26/C8*G8,0)</f>
        <v>#DIV/0!</v>
      </c>
      <c r="N26" s="406" t="s">
        <v>227</v>
      </c>
      <c r="O26" s="408" t="e">
        <f>ROUND(C26/C8*O8,0)</f>
        <v>#DIV/0!</v>
      </c>
    </row>
    <row r="27" spans="2:20" x14ac:dyDescent="0.25">
      <c r="B27" s="406" t="s">
        <v>228</v>
      </c>
      <c r="C27" s="408" t="e">
        <f>C8/C26</f>
        <v>#DIV/0!</v>
      </c>
      <c r="F27" s="406" t="s">
        <v>228</v>
      </c>
      <c r="G27" s="408" t="e">
        <f ca="1">G8/G26</f>
        <v>#N/A</v>
      </c>
      <c r="J27" s="406" t="s">
        <v>227</v>
      </c>
      <c r="K27" s="408" t="e">
        <f ca="1">ROUND(K8/C27,0)</f>
        <v>#N/A</v>
      </c>
      <c r="N27" s="406" t="s">
        <v>228</v>
      </c>
      <c r="O27" s="408" t="e">
        <f>O8/O26</f>
        <v>#DIV/0!</v>
      </c>
      <c r="R27" s="406" t="s">
        <v>227</v>
      </c>
      <c r="S27" s="408" t="e">
        <f ca="1">ROUND(S8/K28,0)</f>
        <v>#N/A</v>
      </c>
    </row>
    <row r="28" spans="2:20" x14ac:dyDescent="0.25">
      <c r="J28" s="406" t="s">
        <v>228</v>
      </c>
      <c r="K28" s="408" t="e">
        <f ca="1">K8/K27</f>
        <v>#N/A</v>
      </c>
      <c r="R28" s="406" t="s">
        <v>228</v>
      </c>
      <c r="S28" s="408" t="e">
        <f ca="1">S8/S27</f>
        <v>#N/A</v>
      </c>
    </row>
    <row r="30" spans="2:20" ht="15.75" thickBot="1" x14ac:dyDescent="0.3"/>
    <row r="31" spans="2:20" x14ac:dyDescent="0.25">
      <c r="N31" s="417" t="s">
        <v>189</v>
      </c>
      <c r="O31" s="418"/>
      <c r="P31" s="418"/>
      <c r="Q31" s="418"/>
      <c r="R31" s="418"/>
      <c r="S31" s="419"/>
    </row>
    <row r="32" spans="2:20" ht="15.75" thickBot="1" x14ac:dyDescent="0.3">
      <c r="N32" s="420"/>
      <c r="O32" s="421"/>
      <c r="P32" s="421"/>
      <c r="Q32" s="421"/>
      <c r="R32" s="421"/>
      <c r="S32" s="422"/>
    </row>
    <row r="34" spans="14:20" x14ac:dyDescent="0.25">
      <c r="N34" s="406"/>
      <c r="O34" s="406" t="s">
        <v>1</v>
      </c>
      <c r="R34" s="406"/>
      <c r="S34" s="406" t="s">
        <v>1</v>
      </c>
    </row>
    <row r="35" spans="14:20" x14ac:dyDescent="0.25">
      <c r="N35" s="406" t="s">
        <v>0</v>
      </c>
      <c r="O35" s="408">
        <f>'Tilan tarve'!X56</f>
        <v>0</v>
      </c>
      <c r="R35" s="406" t="s">
        <v>0</v>
      </c>
      <c r="S35" s="408">
        <f>'Tilan tarve'!AE56</f>
        <v>0</v>
      </c>
    </row>
    <row r="36" spans="14:20" x14ac:dyDescent="0.25">
      <c r="N36" s="406" t="s">
        <v>275</v>
      </c>
      <c r="O36" s="410">
        <f>C9</f>
        <v>0</v>
      </c>
      <c r="R36" s="406" t="s">
        <v>275</v>
      </c>
      <c r="S36" s="410">
        <f>C9</f>
        <v>0</v>
      </c>
    </row>
    <row r="37" spans="14:20" x14ac:dyDescent="0.25">
      <c r="N37" s="411" t="s">
        <v>123</v>
      </c>
      <c r="O37" s="408">
        <f>ROUND(O35*O36,0)</f>
        <v>0</v>
      </c>
      <c r="R37" s="411" t="s">
        <v>123</v>
      </c>
      <c r="S37" s="408">
        <f>ROUND(S35*S36*S50,0)</f>
        <v>0</v>
      </c>
    </row>
    <row r="38" spans="14:20" x14ac:dyDescent="0.25">
      <c r="N38" s="406" t="s">
        <v>122</v>
      </c>
      <c r="O38" s="412">
        <f>C11</f>
        <v>0</v>
      </c>
      <c r="R38" s="406" t="s">
        <v>122</v>
      </c>
      <c r="S38" s="412">
        <f>C11</f>
        <v>0</v>
      </c>
    </row>
    <row r="39" spans="14:20" x14ac:dyDescent="0.25">
      <c r="N39" s="406" t="s">
        <v>254</v>
      </c>
      <c r="O39" s="408">
        <f>INT(O37*(100%-O38))</f>
        <v>0</v>
      </c>
      <c r="R39" s="406" t="s">
        <v>254</v>
      </c>
      <c r="S39" s="408">
        <f>ROUND(S37*(100%-S38),0)</f>
        <v>0</v>
      </c>
    </row>
    <row r="40" spans="14:20" x14ac:dyDescent="0.25">
      <c r="N40" s="406" t="s">
        <v>255</v>
      </c>
      <c r="O40" s="408" t="e">
        <f>INT(O39/O49)</f>
        <v>#DIV/0!</v>
      </c>
      <c r="R40" s="406" t="s">
        <v>255</v>
      </c>
      <c r="S40" s="408">
        <f>INT(S39/S50)</f>
        <v>0</v>
      </c>
      <c r="T40" s="9" t="s">
        <v>263</v>
      </c>
    </row>
    <row r="41" spans="14:20" x14ac:dyDescent="0.25">
      <c r="T41" s="9">
        <f>INT(S35*S42)</f>
        <v>0</v>
      </c>
    </row>
    <row r="42" spans="14:20" x14ac:dyDescent="0.25">
      <c r="N42" s="406" t="s">
        <v>164</v>
      </c>
      <c r="O42" s="413">
        <f>C15</f>
        <v>0</v>
      </c>
      <c r="R42" s="406" t="s">
        <v>164</v>
      </c>
      <c r="S42" s="413">
        <f>C15</f>
        <v>0</v>
      </c>
      <c r="T42" s="415" t="e">
        <f ca="1">ROUND(S44/S39*S40,0)</f>
        <v>#N/A</v>
      </c>
    </row>
    <row r="43" spans="14:20" x14ac:dyDescent="0.25">
      <c r="N43" s="406" t="s">
        <v>174</v>
      </c>
      <c r="O43" s="408">
        <f>INT(O35*O42)</f>
        <v>0</v>
      </c>
      <c r="R43" s="406" t="s">
        <v>174</v>
      </c>
      <c r="S43" s="408">
        <f>INT(S35*S42)</f>
        <v>0</v>
      </c>
      <c r="T43" s="415" t="e">
        <f ca="1">INT(S40-T41-T42)</f>
        <v>#N/A</v>
      </c>
    </row>
    <row r="44" spans="14:20" x14ac:dyDescent="0.25">
      <c r="N44" s="406" t="s">
        <v>175</v>
      </c>
      <c r="O44" s="408" t="e">
        <f ca="1">O39*(G17/G12)</f>
        <v>#N/A</v>
      </c>
      <c r="R44" s="406" t="s">
        <v>175</v>
      </c>
      <c r="S44" s="408" t="e">
        <f ca="1">S39*(G17/G12)</f>
        <v>#N/A</v>
      </c>
    </row>
    <row r="45" spans="14:20" x14ac:dyDescent="0.25">
      <c r="N45" s="406" t="s">
        <v>277</v>
      </c>
      <c r="O45" s="408" t="e">
        <f ca="1">O39-O43-O44</f>
        <v>#N/A</v>
      </c>
      <c r="R45" s="406" t="s">
        <v>277</v>
      </c>
      <c r="S45" s="408" t="e">
        <f ca="1">S39-S43-S44</f>
        <v>#N/A</v>
      </c>
    </row>
    <row r="46" spans="14:20" x14ac:dyDescent="0.25">
      <c r="N46" s="406" t="s">
        <v>276</v>
      </c>
      <c r="O46" s="408" t="e">
        <f>$C$19/$C$12*O39</f>
        <v>#DIV/0!</v>
      </c>
      <c r="R46" s="406" t="s">
        <v>276</v>
      </c>
      <c r="S46" s="408" t="e">
        <f>$C$19/$C$12*S39</f>
        <v>#DIV/0!</v>
      </c>
    </row>
    <row r="48" spans="14:20" x14ac:dyDescent="0.25">
      <c r="N48" s="406" t="s">
        <v>183</v>
      </c>
      <c r="O48" s="408">
        <f>C21</f>
        <v>0</v>
      </c>
      <c r="R48" s="406" t="s">
        <v>183</v>
      </c>
      <c r="S48" s="408">
        <f>C21</f>
        <v>0</v>
      </c>
    </row>
    <row r="49" spans="14:19" x14ac:dyDescent="0.25">
      <c r="N49" s="406" t="s">
        <v>187</v>
      </c>
      <c r="O49" s="408">
        <f>C22</f>
        <v>0</v>
      </c>
      <c r="R49" s="406" t="s">
        <v>187</v>
      </c>
      <c r="S49" s="408">
        <f>K22</f>
        <v>3</v>
      </c>
    </row>
    <row r="50" spans="14:19" x14ac:dyDescent="0.25">
      <c r="N50" s="406" t="s">
        <v>208</v>
      </c>
      <c r="O50" s="408">
        <f>C23</f>
        <v>0</v>
      </c>
      <c r="R50" s="406" t="s">
        <v>260</v>
      </c>
      <c r="S50" s="410">
        <v>1.3</v>
      </c>
    </row>
    <row r="51" spans="14:19" x14ac:dyDescent="0.25">
      <c r="N51" s="406" t="s">
        <v>209</v>
      </c>
      <c r="O51" s="408" t="e">
        <f>O35*$C$24/$C$8</f>
        <v>#DIV/0!</v>
      </c>
      <c r="R51" s="406" t="s">
        <v>208</v>
      </c>
      <c r="S51" s="408">
        <f>C23</f>
        <v>0</v>
      </c>
    </row>
    <row r="52" spans="14:19" x14ac:dyDescent="0.25">
      <c r="R52" s="406" t="s">
        <v>209</v>
      </c>
      <c r="S52" s="408" t="e">
        <f>S35*$C$24/$C$8</f>
        <v>#DIV/0!</v>
      </c>
    </row>
    <row r="53" spans="14:19" x14ac:dyDescent="0.25">
      <c r="N53" s="406" t="s">
        <v>227</v>
      </c>
      <c r="O53" s="408" t="e">
        <f>ROUND(C26/C8*O35,0)</f>
        <v>#DIV/0!</v>
      </c>
    </row>
    <row r="54" spans="14:19" x14ac:dyDescent="0.25">
      <c r="N54" s="406" t="s">
        <v>228</v>
      </c>
      <c r="O54" s="408" t="e">
        <f>O35/O53</f>
        <v>#DIV/0!</v>
      </c>
      <c r="R54" s="406" t="s">
        <v>227</v>
      </c>
      <c r="S54" s="408" t="e">
        <f ca="1">ROUND(S35/K28,0)</f>
        <v>#N/A</v>
      </c>
    </row>
    <row r="55" spans="14:19" x14ac:dyDescent="0.25">
      <c r="R55" s="406" t="s">
        <v>228</v>
      </c>
      <c r="S55" s="408" t="e">
        <f ca="1">S35/S54</f>
        <v>#N/A</v>
      </c>
    </row>
  </sheetData>
  <sheetProtection algorithmName="SHA-512" hashValue="qa6PZiLAOeJmrS+Aacl8Y+lyroPmKrdQ7Kc2aOJdYWkFrh+yI65gmkML3j5n+k8Jx+UjnVAhZTZJhxvaPD1fRw==" saltValue="nn8PKI4P1VOk6nl4/9uClg==" spinCount="100000" sheet="1" objects="1" scenarios="1" selectLockedCells="1"/>
  <mergeCells count="2">
    <mergeCell ref="N31:S32"/>
    <mergeCell ref="A1:A2"/>
  </mergeCells>
  <pageMargins left="0.7" right="0.7" top="0.75" bottom="0.75" header="0.3" footer="0.3"/>
  <pageSetup paperSize="9" orientation="portrait" horizontalDpi="300" verticalDpi="0" copies="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6"/>
  <sheetViews>
    <sheetView zoomScaleNormal="100" workbookViewId="0">
      <selection activeCell="E5" sqref="E5"/>
    </sheetView>
  </sheetViews>
  <sheetFormatPr defaultRowHeight="15" x14ac:dyDescent="0.25"/>
  <cols>
    <col min="1" max="1" width="6.85546875" customWidth="1"/>
    <col min="2" max="2" width="33.85546875" bestFit="1" customWidth="1"/>
    <col min="3" max="3" width="16.85546875" bestFit="1" customWidth="1"/>
    <col min="4" max="4" width="15.42578125" bestFit="1" customWidth="1"/>
    <col min="6" max="6" width="9.140625" style="109"/>
    <col min="7" max="7" width="33.85546875" bestFit="1" customWidth="1"/>
    <col min="8" max="8" width="16.85546875" customWidth="1"/>
    <col min="9" max="9" width="15.42578125" bestFit="1" customWidth="1"/>
    <col min="12" max="12" width="33.85546875" bestFit="1" customWidth="1"/>
    <col min="13" max="13" width="16.85546875" customWidth="1"/>
    <col min="14" max="14" width="15.42578125" bestFit="1" customWidth="1"/>
    <col min="15" max="15" width="9.28515625" bestFit="1" customWidth="1"/>
    <col min="17" max="17" width="33.85546875" bestFit="1" customWidth="1"/>
    <col min="18" max="18" width="16.85546875" customWidth="1"/>
    <col min="19" max="19" width="15.42578125" bestFit="1" customWidth="1"/>
    <col min="20" max="20" width="9.42578125" bestFit="1" customWidth="1"/>
    <col min="22" max="22" width="33.85546875" bestFit="1" customWidth="1"/>
    <col min="23" max="23" width="16.85546875" customWidth="1"/>
    <col min="24" max="24" width="15.42578125" bestFit="1" customWidth="1"/>
    <col min="25" max="25" width="9.42578125" bestFit="1" customWidth="1"/>
  </cols>
  <sheetData>
    <row r="1" spans="1:28" s="28" customFormat="1" ht="15.75" x14ac:dyDescent="0.25">
      <c r="A1" s="297" t="s">
        <v>267</v>
      </c>
      <c r="F1" s="109"/>
      <c r="G1" s="122"/>
      <c r="H1" s="122"/>
      <c r="I1" s="122"/>
      <c r="J1" s="122"/>
      <c r="K1" s="122"/>
      <c r="L1" s="211" t="s">
        <v>286</v>
      </c>
      <c r="M1" s="122"/>
      <c r="N1" s="122"/>
      <c r="O1" s="122"/>
      <c r="P1" s="122"/>
      <c r="Q1" s="295" t="s">
        <v>224</v>
      </c>
      <c r="R1" s="122"/>
      <c r="S1" s="122"/>
      <c r="T1" s="122"/>
      <c r="U1" s="122"/>
      <c r="V1" s="295" t="s">
        <v>224</v>
      </c>
      <c r="W1" s="122"/>
      <c r="X1" s="122"/>
      <c r="Y1" s="122"/>
      <c r="Z1" s="122"/>
      <c r="AA1" s="122"/>
      <c r="AB1" s="122"/>
    </row>
    <row r="2" spans="1:28" s="28" customFormat="1" x14ac:dyDescent="0.25">
      <c r="B2" s="32" t="s">
        <v>41</v>
      </c>
      <c r="F2" s="109"/>
      <c r="G2" s="211" t="s">
        <v>285</v>
      </c>
      <c r="H2" s="122"/>
      <c r="I2" s="122"/>
      <c r="J2" s="122"/>
      <c r="K2" s="122"/>
      <c r="L2" s="211" t="s">
        <v>287</v>
      </c>
      <c r="M2" s="122"/>
      <c r="N2" s="122"/>
      <c r="O2" s="122"/>
      <c r="P2" s="122"/>
      <c r="Q2" s="295" t="s">
        <v>225</v>
      </c>
      <c r="R2" s="122"/>
      <c r="S2" s="122"/>
      <c r="T2" s="122"/>
      <c r="U2" s="122"/>
      <c r="V2" s="295" t="s">
        <v>226</v>
      </c>
      <c r="W2" s="122"/>
      <c r="X2" s="122"/>
      <c r="Y2" s="122"/>
      <c r="Z2" s="122"/>
      <c r="AA2" s="122"/>
      <c r="AB2" s="122"/>
    </row>
    <row r="3" spans="1:28" x14ac:dyDescent="0.25">
      <c r="B3" s="209"/>
      <c r="C3" s="209" t="s">
        <v>27</v>
      </c>
      <c r="D3" s="209" t="s">
        <v>186</v>
      </c>
      <c r="G3" s="209"/>
      <c r="H3" s="209" t="s">
        <v>27</v>
      </c>
      <c r="I3" s="209" t="s">
        <v>186</v>
      </c>
      <c r="L3" s="209"/>
      <c r="M3" s="209" t="s">
        <v>27</v>
      </c>
      <c r="N3" s="209" t="s">
        <v>186</v>
      </c>
      <c r="O3" s="122"/>
      <c r="Q3" s="326"/>
      <c r="R3" s="326" t="s">
        <v>27</v>
      </c>
      <c r="S3" s="326" t="s">
        <v>186</v>
      </c>
      <c r="T3" s="122"/>
      <c r="U3" s="122"/>
      <c r="V3" s="326"/>
      <c r="W3" s="326" t="s">
        <v>27</v>
      </c>
      <c r="X3" s="326" t="s">
        <v>186</v>
      </c>
      <c r="Y3" s="122"/>
      <c r="Z3" s="122"/>
      <c r="AA3" s="122"/>
      <c r="AB3" s="122"/>
    </row>
    <row r="4" spans="1:28" x14ac:dyDescent="0.25">
      <c r="B4" s="209" t="s">
        <v>25</v>
      </c>
      <c r="C4" s="91">
        <f>Lähtötiedot!C8</f>
        <v>0</v>
      </c>
      <c r="D4" s="113">
        <f>0.2*C4</f>
        <v>0</v>
      </c>
      <c r="G4" s="209" t="s">
        <v>25</v>
      </c>
      <c r="H4" s="92" t="e">
        <f ca="1">Lähtötiedot!G8</f>
        <v>#N/A</v>
      </c>
      <c r="I4" s="113" t="e">
        <f ca="1">0.2*H4</f>
        <v>#N/A</v>
      </c>
      <c r="L4" s="209" t="s">
        <v>25</v>
      </c>
      <c r="M4" s="170" t="e">
        <f ca="1">Lähtötiedot!K8</f>
        <v>#N/A</v>
      </c>
      <c r="N4" s="113" t="e">
        <f ca="1">0.2*M4</f>
        <v>#N/A</v>
      </c>
      <c r="O4" s="122"/>
      <c r="Q4" s="326" t="s">
        <v>25</v>
      </c>
      <c r="R4" s="329">
        <f>Lähtötiedot!O8</f>
        <v>0</v>
      </c>
      <c r="S4" s="113">
        <f>0.2*R4</f>
        <v>0</v>
      </c>
      <c r="T4" s="122"/>
      <c r="U4" s="122"/>
      <c r="V4" s="326" t="s">
        <v>25</v>
      </c>
      <c r="W4" s="329">
        <f>Lähtötiedot!S8</f>
        <v>0</v>
      </c>
      <c r="X4" s="113">
        <f>0.2*W4</f>
        <v>0</v>
      </c>
      <c r="Y4" s="122"/>
      <c r="Z4" s="122"/>
      <c r="AA4" s="122"/>
      <c r="AB4" s="122"/>
    </row>
    <row r="5" spans="1:28" s="122" customFormat="1" x14ac:dyDescent="0.25">
      <c r="A5" s="298"/>
      <c r="B5" s="209" t="s">
        <v>251</v>
      </c>
      <c r="C5" s="424"/>
      <c r="D5" s="113">
        <f>C5*0.2</f>
        <v>0</v>
      </c>
      <c r="G5" s="209" t="s">
        <v>251</v>
      </c>
      <c r="H5" s="197" t="e">
        <f ca="1">$C$5/$C$4*H4</f>
        <v>#DIV/0!</v>
      </c>
      <c r="I5" s="113" t="e">
        <f ca="1">H5*0.2</f>
        <v>#DIV/0!</v>
      </c>
      <c r="L5" s="209" t="s">
        <v>251</v>
      </c>
      <c r="M5" s="197" t="e">
        <f ca="1">$C$5/$C$4*M4</f>
        <v>#DIV/0!</v>
      </c>
      <c r="N5" s="113" t="e">
        <f ca="1">M5*0.2</f>
        <v>#DIV/0!</v>
      </c>
      <c r="Q5" s="326" t="s">
        <v>251</v>
      </c>
      <c r="R5" s="329" t="e">
        <f>$C$5/$C$4*R4</f>
        <v>#DIV/0!</v>
      </c>
      <c r="S5" s="113" t="e">
        <f>R5*0.2</f>
        <v>#DIV/0!</v>
      </c>
      <c r="V5" s="326" t="s">
        <v>251</v>
      </c>
      <c r="W5" s="329" t="e">
        <f>$C$5/$C$4*W4</f>
        <v>#DIV/0!</v>
      </c>
      <c r="X5" s="113" t="e">
        <f>W5*0.2</f>
        <v>#DIV/0!</v>
      </c>
    </row>
    <row r="6" spans="1:28" x14ac:dyDescent="0.25">
      <c r="G6" s="28"/>
      <c r="H6" s="28"/>
      <c r="I6" s="39"/>
      <c r="L6" s="122"/>
      <c r="M6" s="122"/>
      <c r="N6" s="39"/>
      <c r="O6" s="122"/>
      <c r="Q6" s="122"/>
      <c r="R6" s="122"/>
      <c r="S6" s="39"/>
      <c r="T6" s="122"/>
      <c r="U6" s="122"/>
      <c r="V6" s="122"/>
      <c r="W6" s="122"/>
      <c r="X6" s="39"/>
      <c r="Y6" s="122"/>
      <c r="Z6" s="122"/>
      <c r="AA6" s="122"/>
      <c r="AB6" s="122"/>
    </row>
    <row r="7" spans="1:28" x14ac:dyDescent="0.25">
      <c r="A7" s="471"/>
      <c r="B7" s="210" t="s">
        <v>28</v>
      </c>
      <c r="C7" s="209" t="s">
        <v>39</v>
      </c>
      <c r="D7" s="209" t="s">
        <v>29</v>
      </c>
      <c r="G7" s="210" t="s">
        <v>28</v>
      </c>
      <c r="H7" s="209" t="s">
        <v>39</v>
      </c>
      <c r="I7" s="209" t="s">
        <v>29</v>
      </c>
      <c r="L7" s="210" t="s">
        <v>28</v>
      </c>
      <c r="M7" s="209" t="s">
        <v>39</v>
      </c>
      <c r="N7" s="209" t="s">
        <v>29</v>
      </c>
      <c r="O7" s="122"/>
      <c r="Q7" s="327" t="s">
        <v>28</v>
      </c>
      <c r="R7" s="326" t="s">
        <v>39</v>
      </c>
      <c r="S7" s="326" t="s">
        <v>29</v>
      </c>
      <c r="T7" s="122"/>
      <c r="U7" s="122"/>
      <c r="V7" s="327" t="s">
        <v>28</v>
      </c>
      <c r="W7" s="326" t="s">
        <v>39</v>
      </c>
      <c r="X7" s="326" t="s">
        <v>29</v>
      </c>
      <c r="Y7" s="122"/>
      <c r="Z7" s="122"/>
      <c r="AA7" s="122"/>
      <c r="AB7" s="122"/>
    </row>
    <row r="8" spans="1:28" x14ac:dyDescent="0.25">
      <c r="A8" s="471">
        <v>1</v>
      </c>
      <c r="B8" s="349">
        <v>1</v>
      </c>
      <c r="C8" s="91">
        <f>IF(B8=1,363,IF(B8=2,369,IF(B8=3,426,IF(B8=4,568,IF(B8=5,629,IF(B8=6,787))))))</f>
        <v>363</v>
      </c>
      <c r="D8" s="91">
        <f>IF($A$8=1,C8*D4,0)</f>
        <v>0</v>
      </c>
      <c r="G8" s="209" t="s">
        <v>30</v>
      </c>
      <c r="H8" s="91">
        <f>C8</f>
        <v>363</v>
      </c>
      <c r="I8" s="182" t="e">
        <f ca="1">IF($A$8=1,H8*I4,0)</f>
        <v>#N/A</v>
      </c>
      <c r="L8" s="209" t="s">
        <v>30</v>
      </c>
      <c r="M8" s="91">
        <f>C8</f>
        <v>363</v>
      </c>
      <c r="N8" s="182" t="e">
        <f ca="1">IF($A$8=1,M8*N4,0)</f>
        <v>#N/A</v>
      </c>
      <c r="O8" s="122"/>
      <c r="Q8" s="326" t="s">
        <v>30</v>
      </c>
      <c r="R8" s="91">
        <f>C8</f>
        <v>363</v>
      </c>
      <c r="S8" s="329">
        <f>IF($A$8=1,R8*S4,0)</f>
        <v>0</v>
      </c>
      <c r="T8" s="122"/>
      <c r="U8" s="122"/>
      <c r="V8" s="326" t="s">
        <v>30</v>
      </c>
      <c r="W8" s="91">
        <f>C8</f>
        <v>363</v>
      </c>
      <c r="X8" s="329">
        <f>IF($A$8=1,W8*X4,0)</f>
        <v>0</v>
      </c>
      <c r="Y8" s="122"/>
      <c r="Z8" s="122"/>
      <c r="AA8" s="122"/>
      <c r="AB8" s="122"/>
    </row>
    <row r="9" spans="1:28" x14ac:dyDescent="0.25">
      <c r="A9" s="471">
        <v>1</v>
      </c>
      <c r="B9" s="349">
        <v>1</v>
      </c>
      <c r="C9" s="91">
        <f>IF(B9=1,100,IF(B9=2,70,IF(B9=3,50)))</f>
        <v>100</v>
      </c>
      <c r="D9" s="91">
        <f>IF(A8=2,C9*$C$4,0)</f>
        <v>0</v>
      </c>
      <c r="G9" s="209" t="s">
        <v>31</v>
      </c>
      <c r="H9" s="91">
        <f>C9</f>
        <v>100</v>
      </c>
      <c r="I9" s="182">
        <f>IF(A8=2,H9*$H$4,0)</f>
        <v>0</v>
      </c>
      <c r="L9" s="209" t="s">
        <v>31</v>
      </c>
      <c r="M9" s="91">
        <f>C9</f>
        <v>100</v>
      </c>
      <c r="N9" s="182">
        <f>IF($A$8=2,M9*M4,0)</f>
        <v>0</v>
      </c>
      <c r="O9" s="122"/>
      <c r="Q9" s="326" t="s">
        <v>31</v>
      </c>
      <c r="R9" s="91">
        <f>C9</f>
        <v>100</v>
      </c>
      <c r="S9" s="329">
        <f>IF($A$8=2,R9*R4,0)</f>
        <v>0</v>
      </c>
      <c r="T9" s="122"/>
      <c r="U9" s="122"/>
      <c r="V9" s="326" t="s">
        <v>31</v>
      </c>
      <c r="W9" s="91">
        <f>C9</f>
        <v>100</v>
      </c>
      <c r="X9" s="329">
        <f>IF($A$8=2,W9*W4,0)</f>
        <v>0</v>
      </c>
      <c r="Y9" s="122"/>
      <c r="Z9" s="122"/>
      <c r="AA9" s="122"/>
      <c r="AB9" s="122"/>
    </row>
    <row r="10" spans="1:28" x14ac:dyDescent="0.25">
      <c r="A10" s="423"/>
      <c r="B10" s="256" t="s">
        <v>32</v>
      </c>
      <c r="C10" s="91"/>
      <c r="D10" s="91"/>
      <c r="G10" s="256" t="s">
        <v>32</v>
      </c>
      <c r="H10" s="91"/>
      <c r="I10" s="180"/>
      <c r="L10" s="256" t="s">
        <v>32</v>
      </c>
      <c r="M10" s="91"/>
      <c r="N10" s="135"/>
      <c r="O10" s="122"/>
      <c r="Q10" s="326" t="s">
        <v>37</v>
      </c>
      <c r="R10" s="91">
        <v>300</v>
      </c>
      <c r="S10" s="329" t="e">
        <f>R10*S5</f>
        <v>#DIV/0!</v>
      </c>
      <c r="T10" s="122"/>
      <c r="U10" s="122"/>
      <c r="V10" s="326" t="s">
        <v>37</v>
      </c>
      <c r="W10" s="91">
        <v>300</v>
      </c>
      <c r="X10" s="329" t="e">
        <f>W10*X5</f>
        <v>#DIV/0!</v>
      </c>
      <c r="Y10" s="122"/>
      <c r="Z10" s="122"/>
      <c r="AA10" s="122"/>
      <c r="AB10" s="122"/>
    </row>
    <row r="11" spans="1:28" x14ac:dyDescent="0.25">
      <c r="A11" s="471" t="b">
        <v>0</v>
      </c>
      <c r="B11" s="209" t="s">
        <v>33</v>
      </c>
      <c r="C11" s="91">
        <v>10</v>
      </c>
      <c r="D11" s="91">
        <f>IF(A11=TRUE,C11*$D$4,0)</f>
        <v>0</v>
      </c>
      <c r="G11" s="209" t="s">
        <v>33</v>
      </c>
      <c r="H11" s="91">
        <v>10</v>
      </c>
      <c r="I11" s="180">
        <f>IF($A$11=TRUE,H11*I4,0)</f>
        <v>0</v>
      </c>
      <c r="L11" s="209" t="s">
        <v>33</v>
      </c>
      <c r="M11" s="91">
        <v>10</v>
      </c>
      <c r="N11" s="182">
        <f>IF(A11=TRUE,M11*N4,0)</f>
        <v>0</v>
      </c>
      <c r="O11" s="122"/>
      <c r="Q11" s="326" t="s">
        <v>36</v>
      </c>
      <c r="R11" s="91"/>
      <c r="S11" s="329" t="e">
        <f>SUM(S8:S10)</f>
        <v>#DIV/0!</v>
      </c>
      <c r="T11" s="122"/>
      <c r="U11" s="122"/>
      <c r="V11" s="326" t="s">
        <v>36</v>
      </c>
      <c r="W11" s="91"/>
      <c r="X11" s="329" t="e">
        <f>SUM(X8:X10)</f>
        <v>#DIV/0!</v>
      </c>
      <c r="Y11" s="122"/>
      <c r="Z11" s="122"/>
      <c r="AA11" s="122"/>
      <c r="AB11" s="122"/>
    </row>
    <row r="12" spans="1:28" x14ac:dyDescent="0.25">
      <c r="A12" s="471" t="b">
        <v>0</v>
      </c>
      <c r="B12" s="209" t="s">
        <v>34</v>
      </c>
      <c r="C12" s="91">
        <v>55</v>
      </c>
      <c r="D12" s="91">
        <f t="shared" ref="D12:D15" si="0">IF(A12=TRUE,C12*$D$4,0)</f>
        <v>0</v>
      </c>
      <c r="G12" s="209" t="s">
        <v>34</v>
      </c>
      <c r="H12" s="91">
        <v>55</v>
      </c>
      <c r="I12" s="180">
        <f>IF($A$12=TRUE,H12*I4,0)</f>
        <v>0</v>
      </c>
      <c r="L12" s="209" t="s">
        <v>34</v>
      </c>
      <c r="M12" s="91">
        <v>55</v>
      </c>
      <c r="N12" s="182">
        <f>IF($A$12=TRUE,M12*N4,0)</f>
        <v>0</v>
      </c>
      <c r="O12" s="122"/>
      <c r="Q12" s="122"/>
      <c r="R12" s="122"/>
      <c r="S12" s="122"/>
      <c r="T12" s="122"/>
      <c r="U12" s="122"/>
      <c r="V12" s="122"/>
      <c r="W12" s="122"/>
      <c r="X12" s="122"/>
      <c r="Y12" s="122"/>
      <c r="Z12" s="122"/>
      <c r="AA12" s="122"/>
      <c r="AB12" s="122"/>
    </row>
    <row r="13" spans="1:28" x14ac:dyDescent="0.25">
      <c r="A13" s="471" t="b">
        <v>0</v>
      </c>
      <c r="B13" s="209" t="s">
        <v>35</v>
      </c>
      <c r="C13" s="91">
        <v>51</v>
      </c>
      <c r="D13" s="91">
        <f t="shared" si="0"/>
        <v>0</v>
      </c>
      <c r="G13" s="209" t="s">
        <v>35</v>
      </c>
      <c r="H13" s="91">
        <v>51</v>
      </c>
      <c r="I13" s="180">
        <f>IF($A$13=TRUE,H13*I4,0)</f>
        <v>0</v>
      </c>
      <c r="L13" s="209" t="s">
        <v>35</v>
      </c>
      <c r="M13" s="91">
        <v>51</v>
      </c>
      <c r="N13" s="182">
        <f>IF($A$13=TRUE,M13*N4,0)</f>
        <v>0</v>
      </c>
      <c r="O13" s="122"/>
      <c r="Q13" s="122"/>
      <c r="R13" s="122"/>
      <c r="S13" s="122"/>
      <c r="T13" s="122"/>
      <c r="U13" s="122"/>
      <c r="V13" s="122"/>
      <c r="W13" s="122"/>
      <c r="X13" s="122"/>
      <c r="Y13" s="122"/>
      <c r="Z13" s="122"/>
      <c r="AA13" s="122"/>
      <c r="AB13" s="122"/>
    </row>
    <row r="14" spans="1:28" x14ac:dyDescent="0.25">
      <c r="A14" s="471" t="b">
        <v>0</v>
      </c>
      <c r="B14" s="326" t="s">
        <v>282</v>
      </c>
      <c r="C14" s="91">
        <v>33</v>
      </c>
      <c r="D14" s="91">
        <f t="shared" si="0"/>
        <v>0</v>
      </c>
      <c r="E14" s="122"/>
      <c r="F14" s="122"/>
      <c r="G14" s="326" t="s">
        <v>282</v>
      </c>
      <c r="H14" s="91">
        <v>33</v>
      </c>
      <c r="I14" s="329">
        <f>IF($A$14=TRUE,H14*I4,0)</f>
        <v>0</v>
      </c>
      <c r="J14" s="122"/>
      <c r="K14" s="122"/>
      <c r="L14" s="326" t="s">
        <v>282</v>
      </c>
      <c r="M14" s="91">
        <v>33</v>
      </c>
      <c r="N14" s="329">
        <f>IF($A$14=TRUE,M14*N4,0)</f>
        <v>0</v>
      </c>
      <c r="O14" s="122"/>
      <c r="Q14" s="326"/>
      <c r="R14" s="326" t="s">
        <v>27</v>
      </c>
      <c r="S14" s="326" t="s">
        <v>186</v>
      </c>
      <c r="T14" s="326" t="s">
        <v>173</v>
      </c>
      <c r="U14" s="122"/>
      <c r="V14" s="326"/>
      <c r="W14" s="326" t="s">
        <v>27</v>
      </c>
      <c r="X14" s="326" t="s">
        <v>186</v>
      </c>
      <c r="Y14" s="326" t="s">
        <v>173</v>
      </c>
      <c r="Z14" s="122"/>
      <c r="AA14" s="122"/>
      <c r="AB14" s="122"/>
    </row>
    <row r="15" spans="1:28" x14ac:dyDescent="0.25">
      <c r="A15" s="471" t="b">
        <v>0</v>
      </c>
      <c r="B15" s="326" t="s">
        <v>283</v>
      </c>
      <c r="C15" s="91">
        <v>8</v>
      </c>
      <c r="D15" s="91">
        <f t="shared" si="0"/>
        <v>0</v>
      </c>
      <c r="E15" s="122"/>
      <c r="F15" s="122"/>
      <c r="G15" s="326" t="s">
        <v>283</v>
      </c>
      <c r="H15" s="91">
        <v>8</v>
      </c>
      <c r="I15" s="329">
        <f>IF($A$15=TRUE,H15*I4,0)</f>
        <v>0</v>
      </c>
      <c r="J15" s="122"/>
      <c r="K15" s="122"/>
      <c r="L15" s="326" t="s">
        <v>283</v>
      </c>
      <c r="M15" s="91">
        <v>8</v>
      </c>
      <c r="N15" s="329">
        <f>IF($A$15=TRUE,M15*N4,0)</f>
        <v>0</v>
      </c>
      <c r="O15" s="122"/>
      <c r="Q15" s="326" t="s">
        <v>162</v>
      </c>
      <c r="R15" s="329" t="e">
        <f ca="1">Lähtötiedot!O17</f>
        <v>#N/A</v>
      </c>
      <c r="S15" s="113" t="e">
        <f ca="1">0.2*R15</f>
        <v>#N/A</v>
      </c>
      <c r="T15" s="262" t="e">
        <f ca="1">$E$20/$C$20*R15</f>
        <v>#DIV/0!</v>
      </c>
      <c r="U15" s="122"/>
      <c r="V15" s="326" t="s">
        <v>162</v>
      </c>
      <c r="W15" s="329" t="e">
        <f ca="1">Lähtötiedot!S17</f>
        <v>#N/A</v>
      </c>
      <c r="X15" s="113" t="e">
        <f ca="1">0.2*W15</f>
        <v>#N/A</v>
      </c>
      <c r="Y15" s="262" t="e">
        <f ca="1">$E$20/$C$20*W15</f>
        <v>#DIV/0!</v>
      </c>
      <c r="Z15" s="122"/>
      <c r="AA15" s="122"/>
      <c r="AB15" s="122"/>
    </row>
    <row r="16" spans="1:28" x14ac:dyDescent="0.25">
      <c r="A16" s="471" t="b">
        <v>0</v>
      </c>
      <c r="B16" s="326" t="s">
        <v>37</v>
      </c>
      <c r="C16" s="91">
        <v>300</v>
      </c>
      <c r="D16" s="91">
        <f>D5*C16</f>
        <v>0</v>
      </c>
      <c r="E16" s="122"/>
      <c r="F16" s="122"/>
      <c r="G16" s="326" t="s">
        <v>37</v>
      </c>
      <c r="H16" s="91">
        <v>300</v>
      </c>
      <c r="I16" s="91" t="e">
        <f ca="1">I5*H16</f>
        <v>#DIV/0!</v>
      </c>
      <c r="J16" s="122"/>
      <c r="K16" s="122"/>
      <c r="L16" s="326" t="s">
        <v>37</v>
      </c>
      <c r="M16" s="91">
        <v>300</v>
      </c>
      <c r="N16" s="91" t="e">
        <f ca="1">N5*M16</f>
        <v>#DIV/0!</v>
      </c>
      <c r="O16" s="122"/>
      <c r="Q16" s="326" t="s">
        <v>163</v>
      </c>
      <c r="R16" s="329">
        <f>Lähtötiedot!O16</f>
        <v>0</v>
      </c>
      <c r="S16" s="113">
        <f>0.2*R16</f>
        <v>0</v>
      </c>
      <c r="T16" s="122"/>
      <c r="U16" s="122"/>
      <c r="V16" s="326" t="s">
        <v>163</v>
      </c>
      <c r="W16" s="329">
        <f>Lähtötiedot!S16</f>
        <v>0</v>
      </c>
      <c r="X16" s="113">
        <f>0.2*W16</f>
        <v>0</v>
      </c>
      <c r="Y16" s="122"/>
      <c r="Z16" s="122"/>
      <c r="AA16" s="122"/>
      <c r="AB16" s="122"/>
    </row>
    <row r="17" spans="1:28" x14ac:dyDescent="0.25">
      <c r="A17" s="423"/>
      <c r="B17" s="326" t="s">
        <v>36</v>
      </c>
      <c r="C17" s="91"/>
      <c r="D17" s="91">
        <f>SUM(D8:D16)</f>
        <v>0</v>
      </c>
      <c r="E17" s="122"/>
      <c r="F17" s="122"/>
      <c r="G17" s="326" t="s">
        <v>36</v>
      </c>
      <c r="H17" s="91"/>
      <c r="I17" s="329" t="e">
        <f ca="1">SUM(I8:I16)</f>
        <v>#N/A</v>
      </c>
      <c r="J17" s="122"/>
      <c r="K17" s="122"/>
      <c r="L17" s="326" t="s">
        <v>36</v>
      </c>
      <c r="M17" s="91"/>
      <c r="N17" s="329" t="e">
        <f ca="1">SUM(N8:N16)</f>
        <v>#N/A</v>
      </c>
      <c r="O17" s="122"/>
      <c r="Q17" s="122"/>
      <c r="R17" s="122"/>
      <c r="S17" s="122"/>
      <c r="T17" s="122"/>
      <c r="U17" s="122"/>
      <c r="V17" s="122"/>
      <c r="W17" s="122"/>
      <c r="X17" s="122"/>
      <c r="Y17" s="122"/>
      <c r="Z17" s="122"/>
      <c r="AA17" s="122"/>
      <c r="AB17" s="122"/>
    </row>
    <row r="18" spans="1:28" x14ac:dyDescent="0.25">
      <c r="A18" s="122"/>
      <c r="B18" s="122"/>
      <c r="C18" s="122"/>
      <c r="D18" s="122"/>
      <c r="F18" s="122"/>
      <c r="G18" s="122"/>
      <c r="H18" s="122"/>
      <c r="I18" s="122"/>
      <c r="J18" s="122"/>
      <c r="K18" s="122"/>
      <c r="Q18" s="327" t="s">
        <v>28</v>
      </c>
      <c r="R18" s="326" t="s">
        <v>39</v>
      </c>
      <c r="S18" s="326" t="s">
        <v>29</v>
      </c>
      <c r="T18" s="122"/>
      <c r="U18" s="122"/>
      <c r="V18" s="327" t="s">
        <v>28</v>
      </c>
      <c r="W18" s="326" t="s">
        <v>39</v>
      </c>
      <c r="X18" s="326" t="s">
        <v>29</v>
      </c>
      <c r="Y18" s="122"/>
      <c r="Z18" s="122"/>
      <c r="AA18" s="122"/>
      <c r="AB18" s="122"/>
    </row>
    <row r="19" spans="1:28" x14ac:dyDescent="0.25">
      <c r="A19" s="122"/>
      <c r="B19" s="323"/>
      <c r="C19" s="323" t="s">
        <v>27</v>
      </c>
      <c r="D19" s="323" t="s">
        <v>186</v>
      </c>
      <c r="E19" s="209" t="s">
        <v>173</v>
      </c>
      <c r="F19" s="122"/>
      <c r="G19" s="323"/>
      <c r="H19" s="323" t="s">
        <v>27</v>
      </c>
      <c r="I19" s="323" t="s">
        <v>186</v>
      </c>
      <c r="J19" s="323" t="s">
        <v>173</v>
      </c>
      <c r="K19" s="122"/>
      <c r="L19" s="209"/>
      <c r="M19" s="209" t="s">
        <v>27</v>
      </c>
      <c r="N19" s="209" t="s">
        <v>186</v>
      </c>
      <c r="O19" s="209" t="s">
        <v>173</v>
      </c>
      <c r="Q19" s="326" t="s">
        <v>38</v>
      </c>
      <c r="R19" s="91">
        <v>18</v>
      </c>
      <c r="S19" s="329" t="e">
        <f ca="1">R19*(R15-T15)</f>
        <v>#N/A</v>
      </c>
      <c r="T19" s="122"/>
      <c r="U19" s="122"/>
      <c r="V19" s="326" t="s">
        <v>38</v>
      </c>
      <c r="W19" s="91">
        <v>18</v>
      </c>
      <c r="X19" s="329" t="e">
        <f ca="1">W19*(W15-Y15)</f>
        <v>#N/A</v>
      </c>
      <c r="Y19" s="122"/>
      <c r="Z19" s="122"/>
      <c r="AA19" s="122"/>
      <c r="AB19" s="122"/>
    </row>
    <row r="20" spans="1:28" x14ac:dyDescent="0.25">
      <c r="A20" s="122"/>
      <c r="B20" s="323" t="s">
        <v>162</v>
      </c>
      <c r="C20" s="324">
        <f>Lähtötiedot!C17</f>
        <v>0</v>
      </c>
      <c r="D20" s="113">
        <f>0.2*C20</f>
        <v>0</v>
      </c>
      <c r="E20" s="472"/>
      <c r="F20" s="122"/>
      <c r="G20" s="323" t="s">
        <v>162</v>
      </c>
      <c r="H20" s="324">
        <f>Lähtötiedot!G17</f>
        <v>0</v>
      </c>
      <c r="I20" s="113">
        <f>0.2*H20</f>
        <v>0</v>
      </c>
      <c r="J20" s="262" t="e">
        <f>$E$20/$C$20*H20</f>
        <v>#DIV/0!</v>
      </c>
      <c r="K20" s="122"/>
      <c r="L20" s="323" t="s">
        <v>162</v>
      </c>
      <c r="M20" s="324" t="e">
        <f ca="1">Lähtötiedot!K17</f>
        <v>#N/A</v>
      </c>
      <c r="N20" s="113" t="e">
        <f ca="1">0.2*M20</f>
        <v>#N/A</v>
      </c>
      <c r="O20" s="262" t="e">
        <f ca="1">$E$20/$C$20*M20</f>
        <v>#DIV/0!</v>
      </c>
      <c r="Q20" s="326" t="s">
        <v>36</v>
      </c>
      <c r="R20" s="91"/>
      <c r="S20" s="329" t="e">
        <f ca="1">SUM(S19:S19)</f>
        <v>#N/A</v>
      </c>
      <c r="T20" s="122"/>
      <c r="U20" s="122"/>
      <c r="V20" s="326" t="s">
        <v>36</v>
      </c>
      <c r="W20" s="91"/>
      <c r="X20" s="329" t="e">
        <f ca="1">SUM(X19:X19)</f>
        <v>#N/A</v>
      </c>
      <c r="Y20" s="122"/>
      <c r="Z20" s="122"/>
      <c r="AA20" s="122"/>
      <c r="AB20" s="122"/>
    </row>
    <row r="21" spans="1:28" x14ac:dyDescent="0.25">
      <c r="A21" s="122"/>
      <c r="B21" s="323" t="s">
        <v>163</v>
      </c>
      <c r="C21" s="91">
        <f>Lähtötiedot!C16</f>
        <v>0</v>
      </c>
      <c r="D21" s="113">
        <f>0.2*C21</f>
        <v>0</v>
      </c>
      <c r="E21" s="122"/>
      <c r="F21" s="122"/>
      <c r="G21" s="323" t="s">
        <v>163</v>
      </c>
      <c r="H21" s="324" t="e">
        <f ca="1">Lähtötiedot!G16</f>
        <v>#N/A</v>
      </c>
      <c r="I21" s="113" t="e">
        <f ca="1">0.2*H21</f>
        <v>#N/A</v>
      </c>
      <c r="J21" s="122"/>
      <c r="K21" s="122"/>
      <c r="L21" s="323" t="s">
        <v>163</v>
      </c>
      <c r="M21" s="324" t="e">
        <f ca="1">Lähtötiedot!K16</f>
        <v>#N/A</v>
      </c>
      <c r="N21" s="113" t="e">
        <f ca="1">0.2*M21</f>
        <v>#N/A</v>
      </c>
      <c r="O21" s="122"/>
      <c r="Q21" s="122"/>
      <c r="R21" s="122"/>
      <c r="S21" s="122"/>
      <c r="T21" s="122"/>
      <c r="U21" s="122"/>
      <c r="V21" s="122"/>
      <c r="W21" s="122"/>
      <c r="X21" s="122"/>
      <c r="Y21" s="122"/>
      <c r="Z21" s="122"/>
      <c r="AA21" s="122"/>
      <c r="AB21" s="122"/>
    </row>
    <row r="22" spans="1:28" ht="15.75" thickBot="1" x14ac:dyDescent="0.3">
      <c r="A22" s="122"/>
      <c r="B22" s="122"/>
      <c r="C22" s="122"/>
      <c r="D22" s="122"/>
      <c r="E22" s="122"/>
      <c r="F22" s="122"/>
      <c r="G22" s="122"/>
      <c r="H22" s="122"/>
      <c r="I22" s="122"/>
      <c r="J22" s="122"/>
      <c r="K22" s="122"/>
      <c r="L22" s="122"/>
      <c r="M22" s="122"/>
      <c r="N22" s="122"/>
      <c r="O22" s="122"/>
      <c r="Q22" s="122"/>
      <c r="R22" s="122"/>
      <c r="S22" s="122"/>
      <c r="T22" s="122"/>
      <c r="U22" s="122"/>
      <c r="V22" s="122"/>
      <c r="W22" s="122"/>
      <c r="X22" s="122"/>
      <c r="Y22" s="122"/>
      <c r="Z22" s="122"/>
      <c r="AA22" s="122"/>
      <c r="AB22" s="122"/>
    </row>
    <row r="23" spans="1:28" ht="15.75" thickBot="1" x14ac:dyDescent="0.3">
      <c r="A23" s="122"/>
      <c r="B23" s="325" t="s">
        <v>28</v>
      </c>
      <c r="C23" s="323" t="s">
        <v>39</v>
      </c>
      <c r="D23" s="323" t="s">
        <v>29</v>
      </c>
      <c r="E23" s="122"/>
      <c r="F23" s="122"/>
      <c r="G23" s="325" t="s">
        <v>28</v>
      </c>
      <c r="H23" s="323" t="s">
        <v>39</v>
      </c>
      <c r="I23" s="323" t="s">
        <v>29</v>
      </c>
      <c r="J23" s="122"/>
      <c r="K23" s="122"/>
      <c r="L23" s="325" t="s">
        <v>28</v>
      </c>
      <c r="M23" s="323" t="s">
        <v>39</v>
      </c>
      <c r="N23" s="323" t="s">
        <v>29</v>
      </c>
      <c r="O23" s="122"/>
      <c r="Q23" s="255" t="s">
        <v>40</v>
      </c>
      <c r="R23" s="392" t="e">
        <f ca="1">S11+S20</f>
        <v>#DIV/0!</v>
      </c>
      <c r="S23" s="393"/>
      <c r="T23" s="122"/>
      <c r="U23" s="122"/>
      <c r="V23" s="255" t="s">
        <v>40</v>
      </c>
      <c r="W23" s="392" t="e">
        <f ca="1">X11+X20</f>
        <v>#DIV/0!</v>
      </c>
      <c r="X23" s="393"/>
      <c r="Y23" s="122"/>
      <c r="Z23" s="122"/>
      <c r="AA23" s="122"/>
      <c r="AB23" s="122"/>
    </row>
    <row r="24" spans="1:28" x14ac:dyDescent="0.25">
      <c r="A24" s="122"/>
      <c r="B24" s="323" t="s">
        <v>38</v>
      </c>
      <c r="C24" s="91">
        <v>18</v>
      </c>
      <c r="D24" s="91">
        <f>$C$24*(C20-E20)</f>
        <v>0</v>
      </c>
      <c r="E24" s="122"/>
      <c r="F24" s="122"/>
      <c r="G24" s="323" t="s">
        <v>38</v>
      </c>
      <c r="H24" s="91">
        <v>18</v>
      </c>
      <c r="I24" s="324" t="e">
        <f>H24*(H20-J20)</f>
        <v>#DIV/0!</v>
      </c>
      <c r="J24" s="122"/>
      <c r="K24" s="122"/>
      <c r="L24" s="323" t="s">
        <v>38</v>
      </c>
      <c r="M24" s="91">
        <v>18</v>
      </c>
      <c r="N24" s="324" t="e">
        <f ca="1">M24*(M20-O20)</f>
        <v>#N/A</v>
      </c>
      <c r="O24" s="122"/>
      <c r="Q24" s="122"/>
      <c r="R24" s="122"/>
      <c r="S24" s="122"/>
      <c r="T24" s="122"/>
      <c r="U24" s="122"/>
      <c r="V24" s="122"/>
      <c r="W24" s="122"/>
      <c r="X24" s="122"/>
      <c r="Y24" s="122"/>
      <c r="Z24" s="122"/>
      <c r="AA24" s="122"/>
      <c r="AB24" s="122"/>
    </row>
    <row r="25" spans="1:28" x14ac:dyDescent="0.25">
      <c r="A25" s="122"/>
      <c r="B25" s="323" t="s">
        <v>32</v>
      </c>
      <c r="C25" s="91"/>
      <c r="D25" s="91"/>
      <c r="E25" s="122"/>
      <c r="F25" s="122"/>
      <c r="G25" s="323" t="s">
        <v>32</v>
      </c>
      <c r="H25" s="91"/>
      <c r="I25" s="324"/>
      <c r="J25" s="122"/>
      <c r="K25" s="122"/>
      <c r="L25" s="323" t="s">
        <v>32</v>
      </c>
      <c r="M25" s="91"/>
      <c r="N25" s="91"/>
      <c r="O25" s="122"/>
      <c r="Q25" s="122"/>
      <c r="R25" s="122"/>
      <c r="S25" s="122"/>
      <c r="T25" s="122"/>
      <c r="U25" s="122"/>
      <c r="V25" s="122"/>
      <c r="W25" s="122"/>
      <c r="X25" s="122"/>
      <c r="Y25" s="122"/>
      <c r="Z25" s="122"/>
      <c r="AA25" s="122"/>
      <c r="AB25" s="122"/>
    </row>
    <row r="26" spans="1:28" x14ac:dyDescent="0.25">
      <c r="A26" s="122"/>
      <c r="B26" s="184" t="s">
        <v>33</v>
      </c>
      <c r="C26" s="91">
        <v>10</v>
      </c>
      <c r="D26" s="91">
        <f>IF(A11=TRUE,C26*$D$21,0)</f>
        <v>0</v>
      </c>
      <c r="E26" s="122"/>
      <c r="F26" s="122"/>
      <c r="G26" s="184" t="s">
        <v>33</v>
      </c>
      <c r="H26" s="91">
        <v>10</v>
      </c>
      <c r="I26" s="324">
        <f>IF($A$11=TRUE,H26*I21,0)</f>
        <v>0</v>
      </c>
      <c r="J26" s="122"/>
      <c r="K26" s="122"/>
      <c r="L26" s="184" t="s">
        <v>33</v>
      </c>
      <c r="M26" s="91">
        <v>10</v>
      </c>
      <c r="N26" s="324">
        <f>IF($A$11=TRUE,M26*N21,0)</f>
        <v>0</v>
      </c>
      <c r="O26" s="122"/>
      <c r="Q26" s="122"/>
      <c r="R26" s="122"/>
      <c r="S26" s="122"/>
      <c r="T26" s="122"/>
      <c r="U26" s="122"/>
      <c r="V26" s="122"/>
      <c r="W26" s="122"/>
      <c r="X26" s="122"/>
      <c r="Y26" s="122"/>
      <c r="Z26" s="122"/>
      <c r="AA26" s="122"/>
      <c r="AB26" s="122"/>
    </row>
    <row r="27" spans="1:28" ht="15.75" thickBot="1" x14ac:dyDescent="0.3">
      <c r="A27" s="122"/>
      <c r="B27" s="323" t="s">
        <v>34</v>
      </c>
      <c r="C27" s="91">
        <v>55</v>
      </c>
      <c r="D27" s="91">
        <f>IF(A12=TRUE,C27*$D$21,0)</f>
        <v>0</v>
      </c>
      <c r="E27" s="122"/>
      <c r="F27" s="122"/>
      <c r="G27" s="323" t="s">
        <v>34</v>
      </c>
      <c r="H27" s="91">
        <v>55</v>
      </c>
      <c r="I27" s="324">
        <f>IF($A$12=TRUE,H27*I21,0)</f>
        <v>0</v>
      </c>
      <c r="J27" s="122"/>
      <c r="K27" s="122"/>
      <c r="L27" s="323" t="s">
        <v>34</v>
      </c>
      <c r="M27" s="91">
        <v>55</v>
      </c>
      <c r="N27" s="324">
        <f>IF($A$12=TRUE,M27*N21,0)</f>
        <v>0</v>
      </c>
      <c r="O27" s="122"/>
      <c r="Q27" s="122"/>
      <c r="R27" s="122"/>
      <c r="S27" s="122"/>
      <c r="T27" s="122"/>
      <c r="U27" s="122"/>
      <c r="V27" s="122"/>
      <c r="W27" s="122"/>
      <c r="X27" s="122"/>
      <c r="Y27" s="122"/>
      <c r="Z27" s="122"/>
      <c r="AA27" s="122"/>
      <c r="AB27" s="122"/>
    </row>
    <row r="28" spans="1:28" ht="15" customHeight="1" x14ac:dyDescent="0.25">
      <c r="A28" s="122"/>
      <c r="B28" s="323" t="s">
        <v>35</v>
      </c>
      <c r="C28" s="91">
        <v>51</v>
      </c>
      <c r="D28" s="91">
        <f>IF(A13=TRUE,C28*$D$21,0)</f>
        <v>0</v>
      </c>
      <c r="E28" s="122"/>
      <c r="F28" s="122"/>
      <c r="G28" s="323" t="s">
        <v>35</v>
      </c>
      <c r="H28" s="91">
        <v>51</v>
      </c>
      <c r="I28" s="324">
        <f>IF($A$13=TRUE,H28*I21,0)</f>
        <v>0</v>
      </c>
      <c r="J28" s="122"/>
      <c r="K28" s="122"/>
      <c r="L28" s="323" t="s">
        <v>35</v>
      </c>
      <c r="M28" s="91">
        <v>51</v>
      </c>
      <c r="N28" s="324">
        <f>IF($A$13=TRUE,M28*N21,0)</f>
        <v>0</v>
      </c>
      <c r="O28" s="122"/>
      <c r="Q28" s="380" t="s">
        <v>189</v>
      </c>
      <c r="R28" s="381"/>
      <c r="S28" s="381"/>
      <c r="T28" s="381"/>
      <c r="U28" s="381"/>
      <c r="V28" s="381"/>
      <c r="W28" s="381"/>
      <c r="X28" s="381"/>
      <c r="Y28" s="381"/>
      <c r="Z28" s="381"/>
      <c r="AA28" s="381"/>
      <c r="AB28" s="382"/>
    </row>
    <row r="29" spans="1:28" ht="15" customHeight="1" x14ac:dyDescent="0.25">
      <c r="A29" s="122"/>
      <c r="B29" s="326" t="s">
        <v>282</v>
      </c>
      <c r="C29" s="91">
        <v>33</v>
      </c>
      <c r="D29" s="91">
        <f>IF(A13=TRUE,C29*$D$22,0)</f>
        <v>0</v>
      </c>
      <c r="E29" s="122"/>
      <c r="F29" s="122"/>
      <c r="G29" s="326" t="s">
        <v>282</v>
      </c>
      <c r="H29" s="91">
        <v>33</v>
      </c>
      <c r="I29" s="329">
        <f>IF($A$14=TRUE,H29*I21,0)</f>
        <v>0</v>
      </c>
      <c r="J29" s="122"/>
      <c r="K29" s="122"/>
      <c r="L29" s="326" t="s">
        <v>282</v>
      </c>
      <c r="M29" s="91">
        <v>33</v>
      </c>
      <c r="N29" s="329">
        <f>IF($A$14=TRUE,M29*N21,0)</f>
        <v>0</v>
      </c>
      <c r="O29" s="122"/>
      <c r="Q29" s="383"/>
      <c r="R29" s="384"/>
      <c r="S29" s="384"/>
      <c r="T29" s="384"/>
      <c r="U29" s="384"/>
      <c r="V29" s="384"/>
      <c r="W29" s="384"/>
      <c r="X29" s="384"/>
      <c r="Y29" s="384"/>
      <c r="Z29" s="384"/>
      <c r="AA29" s="384"/>
      <c r="AB29" s="385"/>
    </row>
    <row r="30" spans="1:28" ht="15" customHeight="1" x14ac:dyDescent="0.25">
      <c r="A30" s="122"/>
      <c r="B30" s="326" t="s">
        <v>283</v>
      </c>
      <c r="C30" s="91">
        <v>8</v>
      </c>
      <c r="D30" s="91">
        <f>IF(A14=TRUE,C30*$D$22,0)</f>
        <v>0</v>
      </c>
      <c r="E30" s="122"/>
      <c r="F30" s="122"/>
      <c r="G30" s="326" t="s">
        <v>283</v>
      </c>
      <c r="H30" s="91">
        <v>8</v>
      </c>
      <c r="I30" s="329">
        <f>IF($A$15=TRUE,H30*I21,0)</f>
        <v>0</v>
      </c>
      <c r="J30" s="122"/>
      <c r="K30" s="122"/>
      <c r="L30" s="326" t="s">
        <v>283</v>
      </c>
      <c r="M30" s="91">
        <v>8</v>
      </c>
      <c r="N30" s="329">
        <f>IF($A$15=TRUE,M30*N21,0)</f>
        <v>0</v>
      </c>
      <c r="O30" s="122"/>
      <c r="Q30" s="383"/>
      <c r="R30" s="384"/>
      <c r="S30" s="384"/>
      <c r="T30" s="384"/>
      <c r="U30" s="384"/>
      <c r="V30" s="384"/>
      <c r="W30" s="384"/>
      <c r="X30" s="384"/>
      <c r="Y30" s="384"/>
      <c r="Z30" s="384"/>
      <c r="AA30" s="384"/>
      <c r="AB30" s="385"/>
    </row>
    <row r="31" spans="1:28" ht="15.75" customHeight="1" thickBot="1" x14ac:dyDescent="0.3">
      <c r="A31" s="122"/>
      <c r="B31" s="326" t="s">
        <v>36</v>
      </c>
      <c r="C31" s="91"/>
      <c r="D31" s="91">
        <f>SUM(D24:D30)</f>
        <v>0</v>
      </c>
      <c r="E31" s="122"/>
      <c r="F31" s="122"/>
      <c r="G31" s="326" t="s">
        <v>36</v>
      </c>
      <c r="H31" s="91"/>
      <c r="I31" s="329" t="e">
        <f>SUM(I24:I30)</f>
        <v>#DIV/0!</v>
      </c>
      <c r="J31" s="122"/>
      <c r="K31" s="122"/>
      <c r="L31" s="326" t="s">
        <v>36</v>
      </c>
      <c r="M31" s="91"/>
      <c r="N31" s="329" t="e">
        <f ca="1">SUM(N24:N30)</f>
        <v>#N/A</v>
      </c>
      <c r="O31" s="122"/>
      <c r="Q31" s="386"/>
      <c r="R31" s="387"/>
      <c r="S31" s="387"/>
      <c r="T31" s="387"/>
      <c r="U31" s="387"/>
      <c r="V31" s="387"/>
      <c r="W31" s="387"/>
      <c r="X31" s="387"/>
      <c r="Y31" s="387"/>
      <c r="Z31" s="387"/>
      <c r="AA31" s="387"/>
      <c r="AB31" s="388"/>
    </row>
    <row r="32" spans="1:28" x14ac:dyDescent="0.25">
      <c r="A32" s="122"/>
      <c r="B32" s="122"/>
      <c r="C32" s="122"/>
      <c r="D32" s="122"/>
      <c r="E32" s="122"/>
      <c r="F32" s="122"/>
      <c r="G32" s="122"/>
      <c r="H32" s="122"/>
      <c r="I32" s="122"/>
      <c r="J32" s="122"/>
      <c r="K32" s="122"/>
      <c r="L32" s="122"/>
      <c r="M32" s="122"/>
      <c r="N32" s="122"/>
      <c r="O32" s="122"/>
      <c r="Q32" s="122"/>
      <c r="R32" s="122"/>
      <c r="S32" s="122"/>
      <c r="T32" s="122"/>
      <c r="U32" s="122"/>
      <c r="V32" s="122"/>
      <c r="W32" s="122"/>
      <c r="X32" s="122"/>
      <c r="Y32" s="122"/>
      <c r="Z32" s="122"/>
      <c r="AA32" s="122"/>
      <c r="AB32" s="122"/>
    </row>
    <row r="33" spans="1:28" ht="15.75" thickBot="1" x14ac:dyDescent="0.3">
      <c r="A33" s="122"/>
      <c r="B33" s="122"/>
      <c r="C33" s="122"/>
      <c r="D33" s="122"/>
      <c r="E33" s="122"/>
      <c r="F33" s="122"/>
      <c r="G33" s="122"/>
      <c r="H33" s="122"/>
      <c r="I33" s="122"/>
      <c r="J33" s="122"/>
      <c r="K33" s="122"/>
      <c r="L33" s="122"/>
      <c r="M33" s="122"/>
      <c r="N33" s="122"/>
      <c r="O33" s="122"/>
      <c r="Q33" s="295" t="s">
        <v>224</v>
      </c>
      <c r="R33" s="122"/>
      <c r="S33" s="122"/>
      <c r="T33" s="122"/>
      <c r="U33" s="122"/>
      <c r="V33" s="295" t="s">
        <v>224</v>
      </c>
      <c r="W33" s="122"/>
      <c r="X33" s="122"/>
      <c r="Y33" s="122"/>
      <c r="Z33" s="122"/>
      <c r="AA33" s="122"/>
      <c r="AB33" s="122"/>
    </row>
    <row r="34" spans="1:28" ht="15.75" thickBot="1" x14ac:dyDescent="0.3">
      <c r="A34" s="122"/>
      <c r="B34" s="255" t="s">
        <v>40</v>
      </c>
      <c r="C34" s="392">
        <f>D17+D31</f>
        <v>0</v>
      </c>
      <c r="D34" s="393"/>
      <c r="E34" s="122"/>
      <c r="F34" s="122"/>
      <c r="G34" s="255" t="s">
        <v>40</v>
      </c>
      <c r="H34" s="392" t="e">
        <f ca="1">I17+I31</f>
        <v>#N/A</v>
      </c>
      <c r="I34" s="393"/>
      <c r="J34" s="122"/>
      <c r="K34" s="122"/>
      <c r="L34" s="255" t="s">
        <v>40</v>
      </c>
      <c r="M34" s="392" t="e">
        <f ca="1">N17+N31</f>
        <v>#N/A</v>
      </c>
      <c r="N34" s="393"/>
      <c r="O34" s="122"/>
      <c r="Q34" s="295" t="s">
        <v>225</v>
      </c>
      <c r="R34" s="122"/>
      <c r="S34" s="122"/>
      <c r="T34" s="122"/>
      <c r="U34" s="122"/>
      <c r="V34" s="295" t="s">
        <v>226</v>
      </c>
      <c r="W34" s="122"/>
      <c r="X34" s="122"/>
      <c r="Y34" s="122"/>
      <c r="Z34" s="122"/>
      <c r="AA34" s="122"/>
      <c r="AB34" s="122"/>
    </row>
    <row r="35" spans="1:28" x14ac:dyDescent="0.25">
      <c r="A35" s="122"/>
      <c r="B35" s="122"/>
      <c r="C35" s="122"/>
      <c r="D35" s="122"/>
      <c r="E35" s="122"/>
      <c r="F35" s="122"/>
      <c r="G35" s="122"/>
      <c r="H35" s="122"/>
      <c r="I35" s="122"/>
      <c r="J35" s="122"/>
      <c r="K35" s="122"/>
      <c r="L35" s="122"/>
      <c r="M35" s="122"/>
      <c r="N35" s="122"/>
      <c r="O35" s="122"/>
      <c r="Q35" s="326"/>
      <c r="R35" s="326" t="s">
        <v>27</v>
      </c>
      <c r="S35" s="326" t="s">
        <v>186</v>
      </c>
      <c r="T35" s="122"/>
      <c r="U35" s="122"/>
      <c r="V35" s="326"/>
      <c r="W35" s="326" t="s">
        <v>27</v>
      </c>
      <c r="X35" s="326" t="s">
        <v>186</v>
      </c>
      <c r="Y35" s="122"/>
      <c r="Z35" s="122"/>
      <c r="AA35" s="122"/>
      <c r="AB35" s="122"/>
    </row>
    <row r="36" spans="1:28" x14ac:dyDescent="0.25">
      <c r="Q36" s="326" t="s">
        <v>25</v>
      </c>
      <c r="R36" s="329">
        <f>Lähtötiedot!O35</f>
        <v>0</v>
      </c>
      <c r="S36" s="113">
        <f>0.2*R36</f>
        <v>0</v>
      </c>
      <c r="T36" s="122"/>
      <c r="U36" s="122"/>
      <c r="V36" s="326" t="s">
        <v>25</v>
      </c>
      <c r="W36" s="329">
        <f>Lähtötiedot!S35</f>
        <v>0</v>
      </c>
      <c r="X36" s="113">
        <f>0.2*W36</f>
        <v>0</v>
      </c>
      <c r="Y36" s="122"/>
      <c r="Z36" s="122"/>
      <c r="AA36" s="122"/>
      <c r="AB36" s="122"/>
    </row>
    <row r="37" spans="1:28" s="122" customFormat="1" x14ac:dyDescent="0.25">
      <c r="Q37" s="326" t="s">
        <v>251</v>
      </c>
      <c r="R37" s="329" t="e">
        <f>$C$5/$C$4*R36</f>
        <v>#DIV/0!</v>
      </c>
      <c r="S37" s="113" t="e">
        <f>R37*0.2</f>
        <v>#DIV/0!</v>
      </c>
      <c r="V37" s="326" t="s">
        <v>251</v>
      </c>
      <c r="W37" s="329" t="e">
        <f>$C$5/$C$4*W36</f>
        <v>#DIV/0!</v>
      </c>
      <c r="X37" s="113" t="e">
        <f>W37*0.2</f>
        <v>#DIV/0!</v>
      </c>
    </row>
    <row r="38" spans="1:28" s="122" customFormat="1" x14ac:dyDescent="0.25">
      <c r="S38" s="39"/>
      <c r="X38" s="39"/>
    </row>
    <row r="39" spans="1:28" x14ac:dyDescent="0.25">
      <c r="Q39" s="327" t="s">
        <v>28</v>
      </c>
      <c r="R39" s="326" t="s">
        <v>39</v>
      </c>
      <c r="S39" s="326" t="s">
        <v>29</v>
      </c>
      <c r="T39" s="122"/>
      <c r="U39" s="122"/>
      <c r="V39" s="327" t="s">
        <v>28</v>
      </c>
      <c r="W39" s="326" t="s">
        <v>39</v>
      </c>
      <c r="X39" s="326" t="s">
        <v>29</v>
      </c>
      <c r="Y39" s="122"/>
      <c r="Z39" s="122"/>
      <c r="AA39" s="122"/>
      <c r="AB39" s="122"/>
    </row>
    <row r="40" spans="1:28" x14ac:dyDescent="0.25">
      <c r="Q40" s="326" t="s">
        <v>30</v>
      </c>
      <c r="R40" s="91">
        <f>C8</f>
        <v>363</v>
      </c>
      <c r="S40" s="329">
        <f>IF($A$8=1,R40*S36,0)</f>
        <v>0</v>
      </c>
      <c r="T40" s="122"/>
      <c r="U40" s="122"/>
      <c r="V40" s="326" t="s">
        <v>30</v>
      </c>
      <c r="W40" s="91">
        <f>C8</f>
        <v>363</v>
      </c>
      <c r="X40" s="329">
        <f>IF($A$8=1,W40*X36,0)</f>
        <v>0</v>
      </c>
      <c r="Y40" s="122"/>
      <c r="Z40" s="122"/>
      <c r="AA40" s="122"/>
      <c r="AB40" s="122"/>
    </row>
    <row r="41" spans="1:28" x14ac:dyDescent="0.25">
      <c r="Q41" s="326" t="s">
        <v>31</v>
      </c>
      <c r="R41" s="91">
        <f>C9</f>
        <v>100</v>
      </c>
      <c r="S41" s="329">
        <f>IF($A$8=2,R41*R36,0)</f>
        <v>0</v>
      </c>
      <c r="T41" s="122"/>
      <c r="U41" s="122"/>
      <c r="V41" s="326" t="s">
        <v>31</v>
      </c>
      <c r="W41" s="91">
        <f>C9</f>
        <v>100</v>
      </c>
      <c r="X41" s="329">
        <f>IF($A$8=2,W41*W36,0)</f>
        <v>0</v>
      </c>
      <c r="Y41" s="122"/>
      <c r="Z41" s="122"/>
      <c r="AA41" s="122"/>
      <c r="AB41" s="122"/>
    </row>
    <row r="42" spans="1:28" x14ac:dyDescent="0.25">
      <c r="Q42" s="256" t="s">
        <v>32</v>
      </c>
      <c r="R42" s="91"/>
      <c r="S42" s="329"/>
      <c r="T42" s="122"/>
      <c r="U42" s="122"/>
      <c r="V42" s="256" t="s">
        <v>32</v>
      </c>
      <c r="W42" s="91"/>
      <c r="X42" s="329"/>
      <c r="Y42" s="122"/>
      <c r="Z42" s="122"/>
      <c r="AA42" s="122"/>
      <c r="AB42" s="122"/>
    </row>
    <row r="43" spans="1:28" x14ac:dyDescent="0.25">
      <c r="Q43" s="326" t="s">
        <v>33</v>
      </c>
      <c r="R43" s="91">
        <v>10</v>
      </c>
      <c r="S43" s="329">
        <f>IF($A$11=TRUE,R43*S36,0)</f>
        <v>0</v>
      </c>
      <c r="T43" s="122"/>
      <c r="U43" s="122"/>
      <c r="V43" s="326" t="s">
        <v>33</v>
      </c>
      <c r="W43" s="91">
        <v>10</v>
      </c>
      <c r="X43" s="329">
        <f>IF($A$11=TRUE,W43*X36,0)</f>
        <v>0</v>
      </c>
      <c r="Y43" s="122"/>
      <c r="Z43" s="122"/>
      <c r="AA43" s="122"/>
      <c r="AB43" s="122"/>
    </row>
    <row r="44" spans="1:28" x14ac:dyDescent="0.25">
      <c r="Q44" s="326" t="s">
        <v>34</v>
      </c>
      <c r="R44" s="91">
        <v>55</v>
      </c>
      <c r="S44" s="329">
        <f>IF($A$12=TRUE,R44*S36,0)</f>
        <v>0</v>
      </c>
      <c r="T44" s="122"/>
      <c r="U44" s="122"/>
      <c r="V44" s="326" t="s">
        <v>34</v>
      </c>
      <c r="W44" s="91">
        <v>55</v>
      </c>
      <c r="X44" s="329">
        <f>IF($A$12=TRUE,W44*X36,0)</f>
        <v>0</v>
      </c>
      <c r="Y44" s="122"/>
      <c r="Z44" s="122"/>
      <c r="AA44" s="122"/>
      <c r="AB44" s="122"/>
    </row>
    <row r="45" spans="1:28" x14ac:dyDescent="0.25">
      <c r="M45" s="39"/>
      <c r="Q45" s="326" t="s">
        <v>35</v>
      </c>
      <c r="R45" s="91">
        <v>51</v>
      </c>
      <c r="S45" s="329">
        <f>IF($A$13=TRUE,R45*S36,0)</f>
        <v>0</v>
      </c>
      <c r="T45" s="122"/>
      <c r="U45" s="122"/>
      <c r="V45" s="326" t="s">
        <v>35</v>
      </c>
      <c r="W45" s="91">
        <v>51</v>
      </c>
      <c r="X45" s="329">
        <f>IF($A$13=TRUE,W45*X36,0)</f>
        <v>0</v>
      </c>
      <c r="Y45" s="122"/>
      <c r="Z45" s="122"/>
      <c r="AA45" s="122"/>
      <c r="AB45" s="122"/>
    </row>
    <row r="46" spans="1:28" x14ac:dyDescent="0.25">
      <c r="Q46" s="326" t="s">
        <v>282</v>
      </c>
      <c r="R46" s="91">
        <v>33</v>
      </c>
      <c r="S46" s="329">
        <f>IF($A$14=TRUE,R46*S36,0)</f>
        <v>0</v>
      </c>
      <c r="T46" s="122"/>
      <c r="U46" s="122"/>
      <c r="V46" s="326" t="s">
        <v>282</v>
      </c>
      <c r="W46" s="91">
        <v>33</v>
      </c>
      <c r="X46" s="329">
        <f>IF($A$14=TRUE,W46*X36,0)</f>
        <v>0</v>
      </c>
      <c r="Y46" s="122"/>
      <c r="Z46" s="122"/>
      <c r="AA46" s="122"/>
      <c r="AB46" s="122"/>
    </row>
    <row r="47" spans="1:28" x14ac:dyDescent="0.25">
      <c r="Q47" s="326" t="s">
        <v>283</v>
      </c>
      <c r="R47" s="91">
        <v>8</v>
      </c>
      <c r="S47" s="329">
        <f>IF($A$15=TRUE,R47*S36,0)</f>
        <v>0</v>
      </c>
      <c r="T47" s="122"/>
      <c r="U47" s="122"/>
      <c r="V47" s="326" t="s">
        <v>283</v>
      </c>
      <c r="W47" s="91">
        <v>8</v>
      </c>
      <c r="X47" s="329">
        <f>IF($A$15=TRUE,W47*X36,0)</f>
        <v>0</v>
      </c>
      <c r="Y47" s="122"/>
      <c r="Z47" s="122"/>
      <c r="AA47" s="122"/>
      <c r="AB47" s="122"/>
    </row>
    <row r="48" spans="1:28" x14ac:dyDescent="0.25">
      <c r="Q48" s="326" t="s">
        <v>37</v>
      </c>
      <c r="R48" s="91">
        <v>300</v>
      </c>
      <c r="S48" s="329" t="e">
        <f>R48*S37</f>
        <v>#DIV/0!</v>
      </c>
      <c r="T48" s="122"/>
      <c r="U48" s="122"/>
      <c r="V48" s="326" t="s">
        <v>37</v>
      </c>
      <c r="W48" s="91">
        <v>300</v>
      </c>
      <c r="X48" s="329" t="e">
        <f>W48*X37</f>
        <v>#DIV/0!</v>
      </c>
      <c r="Y48" s="122"/>
      <c r="Z48" s="122"/>
      <c r="AA48" s="122"/>
      <c r="AB48" s="122"/>
    </row>
    <row r="49" spans="17:28" x14ac:dyDescent="0.25">
      <c r="Q49" s="326" t="s">
        <v>36</v>
      </c>
      <c r="R49" s="91"/>
      <c r="S49" s="329" t="e">
        <f>SUM(S40:S48)</f>
        <v>#DIV/0!</v>
      </c>
      <c r="T49" s="122"/>
      <c r="U49" s="122"/>
      <c r="V49" s="326" t="s">
        <v>36</v>
      </c>
      <c r="W49" s="91"/>
      <c r="X49" s="329" t="e">
        <f>SUM(X40:X48)</f>
        <v>#DIV/0!</v>
      </c>
      <c r="Y49" s="122"/>
      <c r="Z49" s="122"/>
      <c r="AA49" s="122"/>
      <c r="AB49" s="122"/>
    </row>
    <row r="50" spans="17:28" x14ac:dyDescent="0.25">
      <c r="Q50" s="122"/>
      <c r="R50" s="122"/>
      <c r="S50" s="122"/>
      <c r="T50" s="122"/>
      <c r="U50" s="122"/>
      <c r="V50" s="122"/>
      <c r="W50" s="122"/>
      <c r="X50" s="122"/>
      <c r="Y50" s="122"/>
      <c r="Z50" s="122"/>
      <c r="AA50" s="122"/>
      <c r="AB50" s="122"/>
    </row>
    <row r="51" spans="17:28" x14ac:dyDescent="0.25">
      <c r="Q51" s="122"/>
      <c r="R51" s="122"/>
      <c r="S51" s="122"/>
      <c r="T51" s="122"/>
      <c r="U51" s="122"/>
      <c r="V51" s="122"/>
      <c r="W51" s="122"/>
      <c r="X51" s="122"/>
      <c r="Y51" s="122"/>
      <c r="Z51" s="122"/>
      <c r="AA51" s="122"/>
      <c r="AB51" s="122"/>
    </row>
    <row r="52" spans="17:28" x14ac:dyDescent="0.25">
      <c r="Q52" s="326"/>
      <c r="R52" s="326" t="s">
        <v>27</v>
      </c>
      <c r="S52" s="326" t="s">
        <v>186</v>
      </c>
      <c r="T52" s="326" t="s">
        <v>173</v>
      </c>
      <c r="U52" s="122"/>
      <c r="V52" s="326"/>
      <c r="W52" s="326" t="s">
        <v>27</v>
      </c>
      <c r="X52" s="326" t="s">
        <v>186</v>
      </c>
      <c r="Y52" s="326" t="s">
        <v>173</v>
      </c>
      <c r="Z52" s="122"/>
      <c r="AA52" s="122"/>
      <c r="AB52" s="122"/>
    </row>
    <row r="53" spans="17:28" x14ac:dyDescent="0.25">
      <c r="Q53" s="326" t="s">
        <v>162</v>
      </c>
      <c r="R53" s="329" t="e">
        <f ca="1">Lähtötiedot!O44</f>
        <v>#N/A</v>
      </c>
      <c r="S53" s="113" t="e">
        <f ca="1">0.2*R53</f>
        <v>#N/A</v>
      </c>
      <c r="T53" s="262" t="e">
        <f ca="1">$E$20/$C$20*R53</f>
        <v>#DIV/0!</v>
      </c>
      <c r="U53" s="122"/>
      <c r="V53" s="326" t="s">
        <v>162</v>
      </c>
      <c r="W53" s="329" t="e">
        <f ca="1">Lähtötiedot!S44</f>
        <v>#N/A</v>
      </c>
      <c r="X53" s="113" t="e">
        <f ca="1">0.2*W53</f>
        <v>#N/A</v>
      </c>
      <c r="Y53" s="262" t="e">
        <f ca="1">$E$20/$C$20*W53</f>
        <v>#DIV/0!</v>
      </c>
      <c r="Z53" s="122"/>
      <c r="AA53" s="122"/>
      <c r="AB53" s="122"/>
    </row>
    <row r="54" spans="17:28" x14ac:dyDescent="0.25">
      <c r="Q54" s="326" t="s">
        <v>163</v>
      </c>
      <c r="R54" s="329">
        <f>Lähtötiedot!O43</f>
        <v>0</v>
      </c>
      <c r="S54" s="113">
        <f>0.2*R54</f>
        <v>0</v>
      </c>
      <c r="T54" s="122"/>
      <c r="U54" s="122"/>
      <c r="V54" s="326" t="s">
        <v>163</v>
      </c>
      <c r="W54" s="329">
        <f>Lähtötiedot!S43</f>
        <v>0</v>
      </c>
      <c r="X54" s="113">
        <f>0.2*W54</f>
        <v>0</v>
      </c>
      <c r="Y54" s="122"/>
      <c r="Z54" s="122"/>
      <c r="AA54" s="122"/>
      <c r="AB54" s="122"/>
    </row>
    <row r="55" spans="17:28" x14ac:dyDescent="0.25">
      <c r="Q55" s="122"/>
      <c r="R55" s="122"/>
      <c r="S55" s="122"/>
      <c r="T55" s="122"/>
      <c r="U55" s="122"/>
      <c r="V55" s="122"/>
      <c r="W55" s="122"/>
      <c r="X55" s="122"/>
      <c r="Y55" s="122"/>
      <c r="Z55" s="122"/>
      <c r="AA55" s="122"/>
      <c r="AB55" s="122"/>
    </row>
    <row r="56" spans="17:28" x14ac:dyDescent="0.25">
      <c r="Q56" s="327" t="s">
        <v>28</v>
      </c>
      <c r="R56" s="326" t="s">
        <v>39</v>
      </c>
      <c r="S56" s="326" t="s">
        <v>29</v>
      </c>
      <c r="T56" s="122"/>
      <c r="U56" s="122"/>
      <c r="V56" s="327" t="s">
        <v>28</v>
      </c>
      <c r="W56" s="326" t="s">
        <v>39</v>
      </c>
      <c r="X56" s="326" t="s">
        <v>29</v>
      </c>
      <c r="Y56" s="122"/>
      <c r="Z56" s="122"/>
      <c r="AA56" s="122"/>
      <c r="AB56" s="122"/>
    </row>
    <row r="57" spans="17:28" x14ac:dyDescent="0.25">
      <c r="Q57" s="326" t="s">
        <v>38</v>
      </c>
      <c r="R57" s="91">
        <v>18</v>
      </c>
      <c r="S57" s="329" t="e">
        <f ca="1">R57*(R53-T53)</f>
        <v>#N/A</v>
      </c>
      <c r="T57" s="122"/>
      <c r="U57" s="122"/>
      <c r="V57" s="326" t="s">
        <v>38</v>
      </c>
      <c r="W57" s="91">
        <v>18</v>
      </c>
      <c r="X57" s="329" t="e">
        <f ca="1">W57*(W53-Y53)</f>
        <v>#N/A</v>
      </c>
      <c r="Y57" s="122"/>
      <c r="Z57" s="122"/>
      <c r="AA57" s="122"/>
      <c r="AB57" s="122"/>
    </row>
    <row r="58" spans="17:28" x14ac:dyDescent="0.25">
      <c r="Q58" s="326" t="s">
        <v>32</v>
      </c>
      <c r="R58" s="91"/>
      <c r="S58" s="91"/>
      <c r="T58" s="122"/>
      <c r="U58" s="122"/>
      <c r="V58" s="326" t="s">
        <v>32</v>
      </c>
      <c r="W58" s="91"/>
      <c r="X58" s="91"/>
      <c r="Y58" s="122"/>
      <c r="Z58" s="122"/>
      <c r="AA58" s="122"/>
      <c r="AB58" s="122"/>
    </row>
    <row r="59" spans="17:28" x14ac:dyDescent="0.25">
      <c r="Q59" s="184" t="s">
        <v>33</v>
      </c>
      <c r="R59" s="91">
        <v>10</v>
      </c>
      <c r="S59" s="329">
        <f>IF($A$11=TRUE,R59*S54,0)</f>
        <v>0</v>
      </c>
      <c r="T59" s="122"/>
      <c r="U59" s="122"/>
      <c r="V59" s="184" t="s">
        <v>33</v>
      </c>
      <c r="W59" s="91">
        <v>10</v>
      </c>
      <c r="X59" s="329">
        <f>IF($A$11=TRUE,W59*X54,0)</f>
        <v>0</v>
      </c>
      <c r="Y59" s="122"/>
      <c r="Z59" s="122"/>
      <c r="AA59" s="122"/>
      <c r="AB59" s="122"/>
    </row>
    <row r="60" spans="17:28" x14ac:dyDescent="0.25">
      <c r="Q60" s="326" t="s">
        <v>34</v>
      </c>
      <c r="R60" s="91">
        <v>55</v>
      </c>
      <c r="S60" s="329">
        <f>IF($A$12=TRUE,R60*S54,0)</f>
        <v>0</v>
      </c>
      <c r="T60" s="122"/>
      <c r="U60" s="122"/>
      <c r="V60" s="326" t="s">
        <v>34</v>
      </c>
      <c r="W60" s="91">
        <v>55</v>
      </c>
      <c r="X60" s="329">
        <f>IF($A$12=TRUE,W60*X54,0)</f>
        <v>0</v>
      </c>
      <c r="Y60" s="122"/>
      <c r="Z60" s="122"/>
      <c r="AA60" s="122"/>
      <c r="AB60" s="122"/>
    </row>
    <row r="61" spans="17:28" x14ac:dyDescent="0.25">
      <c r="Q61" s="326" t="s">
        <v>35</v>
      </c>
      <c r="R61" s="91">
        <v>51</v>
      </c>
      <c r="S61" s="329">
        <f>IF($A$13=TRUE,R61*S54,0)</f>
        <v>0</v>
      </c>
      <c r="T61" s="122"/>
      <c r="U61" s="122"/>
      <c r="V61" s="326" t="s">
        <v>35</v>
      </c>
      <c r="W61" s="91">
        <v>51</v>
      </c>
      <c r="X61" s="329">
        <f>IF($A$13=TRUE,W61*X54,0)</f>
        <v>0</v>
      </c>
      <c r="Y61" s="122"/>
      <c r="Z61" s="122"/>
      <c r="AA61" s="122"/>
      <c r="AB61" s="122"/>
    </row>
    <row r="62" spans="17:28" x14ac:dyDescent="0.25">
      <c r="Q62" s="326" t="s">
        <v>282</v>
      </c>
      <c r="R62" s="91">
        <v>33</v>
      </c>
      <c r="S62" s="329">
        <f>IF($A$14=TRUE,R62*S54,0)</f>
        <v>0</v>
      </c>
      <c r="T62" s="122"/>
      <c r="U62" s="122"/>
      <c r="V62" s="326" t="s">
        <v>282</v>
      </c>
      <c r="W62" s="91">
        <v>33</v>
      </c>
      <c r="X62" s="329">
        <f>IF($A$14=TRUE,W62*X54,0)</f>
        <v>0</v>
      </c>
      <c r="Y62" s="122"/>
      <c r="Z62" s="122"/>
      <c r="AA62" s="122"/>
      <c r="AB62" s="122"/>
    </row>
    <row r="63" spans="17:28" x14ac:dyDescent="0.25">
      <c r="Q63" s="326" t="s">
        <v>283</v>
      </c>
      <c r="R63" s="91">
        <v>8</v>
      </c>
      <c r="S63" s="329">
        <f>IF($A$15=TRUE,R63*S54,0)</f>
        <v>0</v>
      </c>
      <c r="T63" s="122"/>
      <c r="U63" s="122"/>
      <c r="V63" s="326" t="s">
        <v>283</v>
      </c>
      <c r="W63" s="91">
        <v>8</v>
      </c>
      <c r="X63" s="329">
        <f>IF($A$15=TRUE,W63*X54,0)</f>
        <v>0</v>
      </c>
      <c r="Y63" s="122"/>
      <c r="Z63" s="122"/>
      <c r="AA63" s="122"/>
      <c r="AB63" s="122"/>
    </row>
    <row r="64" spans="17:28" x14ac:dyDescent="0.25">
      <c r="Q64" s="326" t="s">
        <v>36</v>
      </c>
      <c r="R64" s="91"/>
      <c r="S64" s="329" t="e">
        <f ca="1">SUM(S57:S63)</f>
        <v>#N/A</v>
      </c>
      <c r="T64" s="122"/>
      <c r="U64" s="122"/>
      <c r="V64" s="326" t="s">
        <v>36</v>
      </c>
      <c r="W64" s="91"/>
      <c r="X64" s="329" t="e">
        <f ca="1">SUM(X57:X63)</f>
        <v>#N/A</v>
      </c>
      <c r="Y64" s="122"/>
      <c r="Z64" s="122"/>
      <c r="AA64" s="122"/>
      <c r="AB64" s="122"/>
    </row>
    <row r="65" spans="2:28" x14ac:dyDescent="0.25">
      <c r="Q65" s="122"/>
      <c r="R65" s="122"/>
      <c r="S65" s="122"/>
      <c r="T65" s="122"/>
      <c r="U65" s="122"/>
      <c r="V65" s="122"/>
      <c r="W65" s="122"/>
      <c r="X65" s="122"/>
      <c r="Y65" s="122"/>
      <c r="Z65" s="122"/>
      <c r="AA65" s="122"/>
      <c r="AB65" s="122"/>
    </row>
    <row r="66" spans="2:28" ht="15.75" thickBot="1" x14ac:dyDescent="0.3">
      <c r="Q66" s="122"/>
      <c r="R66" s="122"/>
      <c r="S66" s="122"/>
      <c r="T66" s="122"/>
      <c r="U66" s="122"/>
      <c r="V66" s="122"/>
      <c r="W66" s="122"/>
      <c r="X66" s="122"/>
      <c r="Y66" s="122"/>
      <c r="Z66" s="122"/>
      <c r="AA66" s="122"/>
      <c r="AB66" s="122"/>
    </row>
    <row r="67" spans="2:28" ht="15.75" thickBot="1" x14ac:dyDescent="0.3">
      <c r="Q67" s="255" t="s">
        <v>40</v>
      </c>
      <c r="R67" s="392" t="e">
        <f ca="1">S49+S64</f>
        <v>#DIV/0!</v>
      </c>
      <c r="S67" s="393"/>
      <c r="T67" s="122"/>
      <c r="U67" s="122"/>
      <c r="V67" s="255" t="s">
        <v>40</v>
      </c>
      <c r="W67" s="392" t="e">
        <f ca="1">X49+X64</f>
        <v>#DIV/0!</v>
      </c>
      <c r="X67" s="393"/>
      <c r="Y67" s="122"/>
      <c r="Z67" s="122"/>
      <c r="AA67" s="122"/>
      <c r="AB67" s="122"/>
    </row>
    <row r="68" spans="2:28" x14ac:dyDescent="0.25">
      <c r="Q68" s="122"/>
      <c r="R68" s="122"/>
      <c r="S68" s="122"/>
      <c r="T68" s="122"/>
      <c r="U68" s="122"/>
      <c r="V68" s="122"/>
      <c r="W68" s="122"/>
      <c r="X68" s="122"/>
      <c r="Y68" s="122"/>
      <c r="Z68" s="122"/>
      <c r="AA68" s="122"/>
      <c r="AB68" s="122"/>
    </row>
    <row r="69" spans="2:28" x14ac:dyDescent="0.25">
      <c r="Z69" s="122"/>
      <c r="AA69" s="122"/>
    </row>
    <row r="74" spans="2:28" x14ac:dyDescent="0.25">
      <c r="B74" s="347"/>
    </row>
    <row r="75" spans="2:28" ht="15.75" x14ac:dyDescent="0.25">
      <c r="B75" s="470" t="s">
        <v>313</v>
      </c>
      <c r="C75" s="122"/>
    </row>
    <row r="76" spans="2:28" ht="15.75" x14ac:dyDescent="0.25">
      <c r="B76" s="470" t="s">
        <v>314</v>
      </c>
      <c r="C76" s="122"/>
    </row>
    <row r="77" spans="2:28" ht="15.75" x14ac:dyDescent="0.25">
      <c r="B77" s="470" t="s">
        <v>315</v>
      </c>
      <c r="C77" s="122"/>
    </row>
    <row r="78" spans="2:28" x14ac:dyDescent="0.25">
      <c r="B78" s="347"/>
    </row>
    <row r="79" spans="2:28" x14ac:dyDescent="0.25">
      <c r="B79" s="347"/>
    </row>
    <row r="80" spans="2:28" ht="15.75" x14ac:dyDescent="0.25">
      <c r="B80" s="470" t="s">
        <v>305</v>
      </c>
    </row>
    <row r="81" spans="2:26" x14ac:dyDescent="0.25">
      <c r="B81" s="347" t="s">
        <v>306</v>
      </c>
    </row>
    <row r="82" spans="2:26" x14ac:dyDescent="0.25">
      <c r="B82" s="347" t="s">
        <v>307</v>
      </c>
    </row>
    <row r="83" spans="2:26" x14ac:dyDescent="0.25">
      <c r="B83" s="347" t="s">
        <v>308</v>
      </c>
      <c r="Q83" s="122"/>
      <c r="R83" s="122"/>
      <c r="S83" s="122"/>
      <c r="T83" s="122"/>
      <c r="U83" s="122"/>
      <c r="V83" s="122"/>
      <c r="W83" s="122"/>
      <c r="X83" s="122"/>
      <c r="Y83" s="122"/>
      <c r="Z83" s="122"/>
    </row>
    <row r="84" spans="2:26" x14ac:dyDescent="0.25">
      <c r="B84" s="347" t="s">
        <v>309</v>
      </c>
    </row>
    <row r="85" spans="2:26" x14ac:dyDescent="0.25">
      <c r="B85" s="347" t="s">
        <v>310</v>
      </c>
    </row>
    <row r="86" spans="2:26" x14ac:dyDescent="0.25">
      <c r="B86" s="347"/>
    </row>
  </sheetData>
  <sheetProtection algorithmName="SHA-512" hashValue="OVttmani1NYjdCjpyMmIbVrkgxB4h74PLfXdePuNLkFYkMCbEyZ1TCpxndv65AkCXCwB3ympDNvLqUFPh1EqSQ==" saltValue="5KUSn/SVSCY6KivztairoA==" spinCount="100000" sheet="1" objects="1" scenarios="1"/>
  <mergeCells count="8">
    <mergeCell ref="R67:S67"/>
    <mergeCell ref="W67:X67"/>
    <mergeCell ref="Q28:AB31"/>
    <mergeCell ref="C34:D34"/>
    <mergeCell ref="H34:I34"/>
    <mergeCell ref="M34:N34"/>
    <mergeCell ref="R23:S23"/>
    <mergeCell ref="W23:X23"/>
  </mergeCells>
  <pageMargins left="0.7" right="0.7" top="0.75" bottom="0.75" header="0.3" footer="0.3"/>
  <pageSetup paperSize="9"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4239" r:id="rId4" name="Check Box 143">
              <controlPr defaultSize="0" autoFill="0" autoLine="0" autoPict="0">
                <anchor moveWithCells="1">
                  <from>
                    <xdr:col>0</xdr:col>
                    <xdr:colOff>200025</xdr:colOff>
                    <xdr:row>10</xdr:row>
                    <xdr:rowOff>19050</xdr:rowOff>
                  </from>
                  <to>
                    <xdr:col>0</xdr:col>
                    <xdr:colOff>428625</xdr:colOff>
                    <xdr:row>10</xdr:row>
                    <xdr:rowOff>161925</xdr:rowOff>
                  </to>
                </anchor>
              </controlPr>
            </control>
          </mc:Choice>
        </mc:AlternateContent>
        <mc:AlternateContent xmlns:mc="http://schemas.openxmlformats.org/markup-compatibility/2006">
          <mc:Choice Requires="x14">
            <control shapeId="4240" r:id="rId5" name="Check Box 144">
              <controlPr defaultSize="0" autoFill="0" autoLine="0" autoPict="0">
                <anchor moveWithCells="1">
                  <from>
                    <xdr:col>0</xdr:col>
                    <xdr:colOff>200025</xdr:colOff>
                    <xdr:row>11</xdr:row>
                    <xdr:rowOff>19050</xdr:rowOff>
                  </from>
                  <to>
                    <xdr:col>0</xdr:col>
                    <xdr:colOff>428625</xdr:colOff>
                    <xdr:row>11</xdr:row>
                    <xdr:rowOff>161925</xdr:rowOff>
                  </to>
                </anchor>
              </controlPr>
            </control>
          </mc:Choice>
        </mc:AlternateContent>
        <mc:AlternateContent xmlns:mc="http://schemas.openxmlformats.org/markup-compatibility/2006">
          <mc:Choice Requires="x14">
            <control shapeId="4241" r:id="rId6" name="Check Box 145">
              <controlPr defaultSize="0" autoFill="0" autoLine="0" autoPict="0">
                <anchor moveWithCells="1">
                  <from>
                    <xdr:col>0</xdr:col>
                    <xdr:colOff>200025</xdr:colOff>
                    <xdr:row>12</xdr:row>
                    <xdr:rowOff>19050</xdr:rowOff>
                  </from>
                  <to>
                    <xdr:col>0</xdr:col>
                    <xdr:colOff>428625</xdr:colOff>
                    <xdr:row>12</xdr:row>
                    <xdr:rowOff>161925</xdr:rowOff>
                  </to>
                </anchor>
              </controlPr>
            </control>
          </mc:Choice>
        </mc:AlternateContent>
        <mc:AlternateContent xmlns:mc="http://schemas.openxmlformats.org/markup-compatibility/2006">
          <mc:Choice Requires="x14">
            <control shapeId="4252" r:id="rId7" name="Option Button 156">
              <controlPr defaultSize="0" autoFill="0" autoLine="0" autoPict="0">
                <anchor moveWithCells="1">
                  <from>
                    <xdr:col>0</xdr:col>
                    <xdr:colOff>209550</xdr:colOff>
                    <xdr:row>7</xdr:row>
                    <xdr:rowOff>0</xdr:rowOff>
                  </from>
                  <to>
                    <xdr:col>0</xdr:col>
                    <xdr:colOff>438150</xdr:colOff>
                    <xdr:row>7</xdr:row>
                    <xdr:rowOff>171450</xdr:rowOff>
                  </to>
                </anchor>
              </controlPr>
            </control>
          </mc:Choice>
        </mc:AlternateContent>
        <mc:AlternateContent xmlns:mc="http://schemas.openxmlformats.org/markup-compatibility/2006">
          <mc:Choice Requires="x14">
            <control shapeId="4253" r:id="rId8" name="Option Button 157">
              <controlPr defaultSize="0" autoFill="0" autoLine="0" autoPict="0">
                <anchor moveWithCells="1">
                  <from>
                    <xdr:col>0</xdr:col>
                    <xdr:colOff>209550</xdr:colOff>
                    <xdr:row>8</xdr:row>
                    <xdr:rowOff>9525</xdr:rowOff>
                  </from>
                  <to>
                    <xdr:col>0</xdr:col>
                    <xdr:colOff>438150</xdr:colOff>
                    <xdr:row>8</xdr:row>
                    <xdr:rowOff>152400</xdr:rowOff>
                  </to>
                </anchor>
              </controlPr>
            </control>
          </mc:Choice>
        </mc:AlternateContent>
        <mc:AlternateContent xmlns:mc="http://schemas.openxmlformats.org/markup-compatibility/2006">
          <mc:Choice Requires="x14">
            <control shapeId="4257" r:id="rId9" name="Drop Down 161">
              <controlPr defaultSize="0" autoLine="0" autoPict="0">
                <anchor moveWithCells="1">
                  <from>
                    <xdr:col>1</xdr:col>
                    <xdr:colOff>0</xdr:colOff>
                    <xdr:row>8</xdr:row>
                    <xdr:rowOff>0</xdr:rowOff>
                  </from>
                  <to>
                    <xdr:col>2</xdr:col>
                    <xdr:colOff>9525</xdr:colOff>
                    <xdr:row>9</xdr:row>
                    <xdr:rowOff>9525</xdr:rowOff>
                  </to>
                </anchor>
              </controlPr>
            </control>
          </mc:Choice>
        </mc:AlternateContent>
        <mc:AlternateContent xmlns:mc="http://schemas.openxmlformats.org/markup-compatibility/2006">
          <mc:Choice Requires="x14">
            <control shapeId="4272" r:id="rId10" name="Check Box 176">
              <controlPr defaultSize="0" autoFill="0" autoLine="0" autoPict="0">
                <anchor moveWithCells="1">
                  <from>
                    <xdr:col>0</xdr:col>
                    <xdr:colOff>209550</xdr:colOff>
                    <xdr:row>13</xdr:row>
                    <xdr:rowOff>19050</xdr:rowOff>
                  </from>
                  <to>
                    <xdr:col>0</xdr:col>
                    <xdr:colOff>438150</xdr:colOff>
                    <xdr:row>13</xdr:row>
                    <xdr:rowOff>161925</xdr:rowOff>
                  </to>
                </anchor>
              </controlPr>
            </control>
          </mc:Choice>
        </mc:AlternateContent>
        <mc:AlternateContent xmlns:mc="http://schemas.openxmlformats.org/markup-compatibility/2006">
          <mc:Choice Requires="x14">
            <control shapeId="4273" r:id="rId11" name="Check Box 177">
              <controlPr defaultSize="0" autoFill="0" autoLine="0" autoPict="0">
                <anchor moveWithCells="1">
                  <from>
                    <xdr:col>0</xdr:col>
                    <xdr:colOff>209550</xdr:colOff>
                    <xdr:row>14</xdr:row>
                    <xdr:rowOff>19050</xdr:rowOff>
                  </from>
                  <to>
                    <xdr:col>0</xdr:col>
                    <xdr:colOff>438150</xdr:colOff>
                    <xdr:row>14</xdr:row>
                    <xdr:rowOff>161925</xdr:rowOff>
                  </to>
                </anchor>
              </controlPr>
            </control>
          </mc:Choice>
        </mc:AlternateContent>
        <mc:AlternateContent xmlns:mc="http://schemas.openxmlformats.org/markup-compatibility/2006">
          <mc:Choice Requires="x14">
            <control shapeId="4316" r:id="rId12" name="Drop Down 220">
              <controlPr defaultSize="0" autoLine="0" autoPict="0">
                <anchor moveWithCells="1">
                  <from>
                    <xdr:col>1</xdr:col>
                    <xdr:colOff>0</xdr:colOff>
                    <xdr:row>7</xdr:row>
                    <xdr:rowOff>0</xdr:rowOff>
                  </from>
                  <to>
                    <xdr:col>2</xdr:col>
                    <xdr:colOff>9525</xdr:colOff>
                    <xdr:row>8</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7"/>
  <sheetViews>
    <sheetView workbookViewId="0">
      <selection activeCell="C8" sqref="C8"/>
    </sheetView>
  </sheetViews>
  <sheetFormatPr defaultRowHeight="15" x14ac:dyDescent="0.25"/>
  <cols>
    <col min="2" max="2" width="18" bestFit="1" customWidth="1"/>
    <col min="5" max="5" width="17.5703125" customWidth="1"/>
    <col min="8" max="8" width="17.7109375" customWidth="1"/>
    <col min="9" max="9" width="9.140625" customWidth="1"/>
    <col min="11" max="11" width="17.7109375" customWidth="1"/>
    <col min="14" max="14" width="17.7109375" customWidth="1"/>
  </cols>
  <sheetData>
    <row r="1" spans="1:17" ht="15.75" x14ac:dyDescent="0.25">
      <c r="A1" s="318" t="s">
        <v>267</v>
      </c>
    </row>
    <row r="2" spans="1:17" x14ac:dyDescent="0.25">
      <c r="A2" s="212"/>
      <c r="B2" s="212"/>
      <c r="C2" s="212"/>
      <c r="D2" s="212"/>
      <c r="E2" s="213" t="s">
        <v>286</v>
      </c>
      <c r="F2" s="212"/>
      <c r="G2" s="212"/>
      <c r="H2" s="213" t="s">
        <v>286</v>
      </c>
      <c r="I2" s="212"/>
      <c r="J2" s="212"/>
      <c r="K2" s="213" t="s">
        <v>224</v>
      </c>
      <c r="L2" s="212"/>
      <c r="M2" s="212"/>
      <c r="N2" s="213" t="s">
        <v>224</v>
      </c>
      <c r="O2" s="212"/>
      <c r="P2" s="212"/>
      <c r="Q2" s="212"/>
    </row>
    <row r="3" spans="1:17" x14ac:dyDescent="0.25">
      <c r="A3" s="212"/>
      <c r="B3" s="213" t="s">
        <v>41</v>
      </c>
      <c r="C3" s="212"/>
      <c r="D3" s="212"/>
      <c r="E3" s="215" t="s">
        <v>289</v>
      </c>
      <c r="F3" s="212"/>
      <c r="G3" s="212"/>
      <c r="H3" s="213" t="s">
        <v>290</v>
      </c>
      <c r="I3" s="212"/>
      <c r="J3" s="212"/>
      <c r="K3" s="213" t="s">
        <v>225</v>
      </c>
      <c r="L3" s="212"/>
      <c r="M3" s="212"/>
      <c r="N3" s="213" t="s">
        <v>226</v>
      </c>
      <c r="O3" s="212"/>
      <c r="P3" s="212"/>
      <c r="Q3" s="212"/>
    </row>
    <row r="4" spans="1:17" x14ac:dyDescent="0.25">
      <c r="B4" s="394" t="s">
        <v>190</v>
      </c>
      <c r="C4" s="395"/>
      <c r="E4" s="394" t="s">
        <v>190</v>
      </c>
      <c r="F4" s="395"/>
      <c r="H4" s="394" t="s">
        <v>190</v>
      </c>
      <c r="I4" s="395"/>
      <c r="K4" s="394" t="s">
        <v>190</v>
      </c>
      <c r="L4" s="395"/>
      <c r="N4" s="394" t="s">
        <v>190</v>
      </c>
      <c r="O4" s="395"/>
    </row>
    <row r="5" spans="1:17" x14ac:dyDescent="0.25">
      <c r="B5" s="112" t="s">
        <v>124</v>
      </c>
      <c r="C5" s="126">
        <f>Myyntituotot!C14</f>
        <v>0</v>
      </c>
      <c r="E5" s="112" t="s">
        <v>124</v>
      </c>
      <c r="F5" s="126">
        <f>Myyntituotot!H14</f>
        <v>0</v>
      </c>
      <c r="G5" s="56"/>
      <c r="H5" s="112" t="s">
        <v>124</v>
      </c>
      <c r="I5" s="126" t="e">
        <f ca="1">Myyntituotot!M14</f>
        <v>#N/A</v>
      </c>
      <c r="K5" s="112" t="s">
        <v>124</v>
      </c>
      <c r="L5" s="126" t="e">
        <f ca="1">Myyntituotot!R14</f>
        <v>#N/A</v>
      </c>
      <c r="N5" s="112" t="s">
        <v>124</v>
      </c>
      <c r="O5" s="126" t="e">
        <f ca="1">Myyntituotot!W14</f>
        <v>#N/A</v>
      </c>
    </row>
    <row r="6" spans="1:17" s="95" customFormat="1" x14ac:dyDescent="0.25">
      <c r="B6" s="123" t="s">
        <v>125</v>
      </c>
      <c r="C6" s="126">
        <f>Myyntituotot!C13</f>
        <v>0</v>
      </c>
      <c r="E6" s="123" t="s">
        <v>125</v>
      </c>
      <c r="F6" s="126" t="e">
        <f ca="1">Myyntituotot!H13</f>
        <v>#N/A</v>
      </c>
      <c r="H6" s="123" t="s">
        <v>125</v>
      </c>
      <c r="I6" s="126" t="e">
        <f ca="1">Myyntituotot!M13</f>
        <v>#N/A</v>
      </c>
      <c r="K6" s="123" t="s">
        <v>125</v>
      </c>
      <c r="L6" s="126">
        <f>Myyntituotot!R13</f>
        <v>0</v>
      </c>
      <c r="N6" s="123" t="s">
        <v>125</v>
      </c>
      <c r="O6" s="126">
        <f>Myyntituotot!W13</f>
        <v>0</v>
      </c>
    </row>
    <row r="7" spans="1:17" x14ac:dyDescent="0.25">
      <c r="B7" s="123" t="s">
        <v>155</v>
      </c>
      <c r="C7" s="126">
        <f>'Eläintuet &amp; palkkiot'!C34</f>
        <v>0</v>
      </c>
      <c r="E7" s="123" t="s">
        <v>155</v>
      </c>
      <c r="F7" s="126" t="e">
        <f ca="1">'Eläintuet &amp; palkkiot'!H34</f>
        <v>#N/A</v>
      </c>
      <c r="G7" s="56"/>
      <c r="H7" s="123" t="s">
        <v>155</v>
      </c>
      <c r="I7" s="126" t="e">
        <f ca="1">'Eläintuet &amp; palkkiot'!M34</f>
        <v>#N/A</v>
      </c>
      <c r="K7" s="123" t="s">
        <v>155</v>
      </c>
      <c r="L7" s="126" t="e">
        <f ca="1">'Eläintuet &amp; palkkiot'!R23</f>
        <v>#DIV/0!</v>
      </c>
      <c r="N7" s="123" t="s">
        <v>155</v>
      </c>
      <c r="O7" s="126" t="e">
        <f ca="1">'Eläintuet &amp; palkkiot'!W23</f>
        <v>#DIV/0!</v>
      </c>
    </row>
    <row r="8" spans="1:17" x14ac:dyDescent="0.25">
      <c r="B8" s="123" t="s">
        <v>154</v>
      </c>
      <c r="C8" s="126">
        <f>Myyntituotot!E19+Myyntituotot!D22</f>
        <v>0</v>
      </c>
      <c r="E8" s="123" t="s">
        <v>154</v>
      </c>
      <c r="F8" s="126" t="e">
        <f ca="1">Myyntituotot!J19+Myyntituotot!I22</f>
        <v>#N/A</v>
      </c>
      <c r="H8" s="123" t="s">
        <v>154</v>
      </c>
      <c r="I8" s="126" t="e">
        <f ca="1">Myyntituotot!O19+Myyntituotot!N22</f>
        <v>#N/A</v>
      </c>
      <c r="K8" s="123" t="s">
        <v>154</v>
      </c>
      <c r="L8" s="126" t="e">
        <f ca="1">Myyntituotot!T19+Myyntituotot!S22</f>
        <v>#N/A</v>
      </c>
      <c r="N8" s="123" t="s">
        <v>154</v>
      </c>
      <c r="O8" s="126" t="e">
        <f ca="1">Myyntituotot!Y19+Myyntituotot!X22</f>
        <v>#N/A</v>
      </c>
    </row>
    <row r="9" spans="1:17" x14ac:dyDescent="0.25">
      <c r="B9" s="124"/>
      <c r="C9" s="125"/>
      <c r="E9" s="124"/>
      <c r="F9" s="126"/>
      <c r="H9" s="124"/>
      <c r="I9" s="126"/>
      <c r="K9" s="124"/>
      <c r="L9" s="126"/>
      <c r="N9" s="124"/>
      <c r="O9" s="126"/>
    </row>
    <row r="10" spans="1:17" x14ac:dyDescent="0.25">
      <c r="B10" s="124" t="s">
        <v>158</v>
      </c>
      <c r="C10" s="111">
        <f>SUM(C5:C9)</f>
        <v>0</v>
      </c>
      <c r="E10" s="124" t="s">
        <v>158</v>
      </c>
      <c r="F10" s="147" t="e">
        <f ca="1">SUM(F5:F9)</f>
        <v>#N/A</v>
      </c>
      <c r="H10" s="124" t="s">
        <v>158</v>
      </c>
      <c r="I10" s="147" t="e">
        <f ca="1">SUM(I5:I9)</f>
        <v>#N/A</v>
      </c>
      <c r="K10" s="124" t="s">
        <v>158</v>
      </c>
      <c r="L10" s="153" t="e">
        <f ca="1">SUM(L5:L9)</f>
        <v>#N/A</v>
      </c>
      <c r="N10" s="124" t="s">
        <v>158</v>
      </c>
      <c r="O10" s="162" t="e">
        <f ca="1">SUM(O5:O9)</f>
        <v>#N/A</v>
      </c>
    </row>
    <row r="11" spans="1:17" x14ac:dyDescent="0.25">
      <c r="H11" s="122"/>
      <c r="I11" s="122"/>
      <c r="K11" s="122"/>
      <c r="L11" s="122"/>
      <c r="N11" s="122"/>
      <c r="O11" s="122"/>
    </row>
    <row r="12" spans="1:17" x14ac:dyDescent="0.25">
      <c r="H12" s="122"/>
      <c r="I12" s="122"/>
      <c r="K12" s="122"/>
      <c r="L12" s="122"/>
      <c r="N12" s="122"/>
      <c r="O12" s="122"/>
    </row>
    <row r="13" spans="1:17" x14ac:dyDescent="0.25">
      <c r="B13" s="394" t="s">
        <v>304</v>
      </c>
      <c r="C13" s="395"/>
      <c r="E13" s="394" t="s">
        <v>304</v>
      </c>
      <c r="F13" s="395"/>
      <c r="H13" s="394" t="s">
        <v>304</v>
      </c>
      <c r="I13" s="395"/>
      <c r="K13" s="394" t="s">
        <v>304</v>
      </c>
      <c r="L13" s="395"/>
      <c r="N13" s="394" t="s">
        <v>304</v>
      </c>
      <c r="O13" s="395"/>
    </row>
    <row r="14" spans="1:17" x14ac:dyDescent="0.25">
      <c r="B14" s="112" t="s">
        <v>194</v>
      </c>
      <c r="C14" s="91">
        <f>Työkustannukset!P23</f>
        <v>0</v>
      </c>
      <c r="E14" s="112" t="s">
        <v>194</v>
      </c>
      <c r="F14" s="92" t="e">
        <f ca="1">Työkustannukset!L44</f>
        <v>#N/A</v>
      </c>
      <c r="H14" s="112" t="s">
        <v>194</v>
      </c>
      <c r="I14" s="135" t="e">
        <f ca="1">Työkustannukset!S44</f>
        <v>#N/A</v>
      </c>
      <c r="K14" s="112" t="s">
        <v>194</v>
      </c>
      <c r="L14" s="135" t="e">
        <f>Työkustannukset!Z44</f>
        <v>#DIV/0!</v>
      </c>
      <c r="N14" s="112" t="s">
        <v>194</v>
      </c>
      <c r="O14" s="161" t="e">
        <f>Työkustannukset!AG44</f>
        <v>#DIV/0!</v>
      </c>
    </row>
    <row r="15" spans="1:17" x14ac:dyDescent="0.25">
      <c r="B15" s="123" t="s">
        <v>156</v>
      </c>
      <c r="C15" s="92">
        <f ca="1">'Ruokinnan kustannukset'!E26</f>
        <v>0</v>
      </c>
      <c r="E15" s="123" t="s">
        <v>156</v>
      </c>
      <c r="F15" s="92" t="e">
        <f ca="1">'Ruokinnan kustannukset'!N26</f>
        <v>#N/A</v>
      </c>
      <c r="H15" s="123" t="s">
        <v>156</v>
      </c>
      <c r="I15" s="135" t="e">
        <f ca="1">F15</f>
        <v>#N/A</v>
      </c>
      <c r="K15" s="123" t="s">
        <v>156</v>
      </c>
      <c r="L15" s="135" t="e">
        <f ca="1">'Ruokinnan kustannukset'!Z26</f>
        <v>#DIV/0!</v>
      </c>
      <c r="N15" s="123" t="s">
        <v>156</v>
      </c>
      <c r="O15" s="161" t="e">
        <f ca="1">'Ruokinnan kustannukset'!AF26</f>
        <v>#N/A</v>
      </c>
    </row>
    <row r="16" spans="1:17" x14ac:dyDescent="0.25">
      <c r="B16" s="123" t="s">
        <v>191</v>
      </c>
      <c r="C16" s="164">
        <f>Kuivituskustannukset!E21</f>
        <v>0</v>
      </c>
      <c r="E16" s="123" t="s">
        <v>191</v>
      </c>
      <c r="F16" s="92" t="e">
        <f ca="1">Kuivituskustannukset!K21</f>
        <v>#DIV/0!</v>
      </c>
      <c r="H16" s="123" t="s">
        <v>191</v>
      </c>
      <c r="I16" s="135" t="e">
        <f ca="1">Kuivituskustannukset!P21</f>
        <v>#DIV/0!</v>
      </c>
      <c r="K16" s="123" t="s">
        <v>191</v>
      </c>
      <c r="L16" s="135" t="e">
        <f ca="1">Kuivituskustannukset!U21</f>
        <v>#DIV/0!</v>
      </c>
      <c r="N16" s="123" t="s">
        <v>191</v>
      </c>
      <c r="O16" s="161" t="e">
        <f ca="1">Kuivituskustannukset!Z21</f>
        <v>#DIV/0!</v>
      </c>
    </row>
    <row r="17" spans="2:19" s="122" customFormat="1" x14ac:dyDescent="0.25">
      <c r="B17" s="123" t="s">
        <v>192</v>
      </c>
      <c r="C17" s="258" t="e">
        <f>'Uudistus &amp; muut kust.'!D11*Lähtötiedot!C16</f>
        <v>#DIV/0!</v>
      </c>
      <c r="E17" s="123" t="s">
        <v>192</v>
      </c>
      <c r="F17" s="164" t="e">
        <f ca="1">'Uudistus &amp; muut kust.'!D11*Lähtötiedot!G16</f>
        <v>#DIV/0!</v>
      </c>
      <c r="H17" s="123" t="s">
        <v>192</v>
      </c>
      <c r="I17" s="164" t="e">
        <f ca="1">'Uudistus &amp; muut kust.'!D11*Lähtötiedot!K16*Lähtötiedot!K23</f>
        <v>#DIV/0!</v>
      </c>
      <c r="K17" s="123" t="s">
        <v>192</v>
      </c>
      <c r="L17" s="164" t="e">
        <f>'Uudistus &amp; muut kust.'!D11*Lähtötiedot!O16</f>
        <v>#DIV/0!</v>
      </c>
      <c r="N17" s="123" t="s">
        <v>192</v>
      </c>
      <c r="O17" s="164" t="e">
        <f>'Uudistus &amp; muut kust.'!D11*Lähtötiedot!S16*Lähtötiedot!S23</f>
        <v>#DIV/0!</v>
      </c>
    </row>
    <row r="18" spans="2:19" s="121" customFormat="1" x14ac:dyDescent="0.25">
      <c r="B18" s="124" t="s">
        <v>193</v>
      </c>
      <c r="C18" s="166" t="e">
        <f ca="1">'Uudistus &amp; muut kust.'!E37+'Uudistus &amp; muut kust.'!E40</f>
        <v>#DIV/0!</v>
      </c>
      <c r="E18" s="124" t="s">
        <v>193</v>
      </c>
      <c r="F18" s="92" t="e">
        <f ca="1">'Uudistus &amp; muut kust.'!K37+'Uudistus &amp; muut kust.'!K40</f>
        <v>#N/A</v>
      </c>
      <c r="H18" s="124" t="s">
        <v>193</v>
      </c>
      <c r="I18" s="135" t="e">
        <f ca="1">'Uudistus &amp; muut kust.'!Q37+'Uudistus &amp; muut kust.'!Q40</f>
        <v>#N/A</v>
      </c>
      <c r="K18" s="124" t="s">
        <v>193</v>
      </c>
      <c r="L18" s="135" t="e">
        <f ca="1">'Uudistus &amp; muut kust.'!W37+'Uudistus &amp; muut kust.'!W40</f>
        <v>#DIV/0!</v>
      </c>
      <c r="N18" s="124" t="s">
        <v>193</v>
      </c>
      <c r="O18" s="161" t="e">
        <f ca="1">'Uudistus &amp; muut kust.'!AC37+'Uudistus &amp; muut kust.'!AC40</f>
        <v>#DIV/0!</v>
      </c>
    </row>
    <row r="19" spans="2:19" x14ac:dyDescent="0.25">
      <c r="B19" s="120" t="s">
        <v>158</v>
      </c>
      <c r="C19" s="111" t="e">
        <f ca="1">SUM(C14:C18)</f>
        <v>#DIV/0!</v>
      </c>
      <c r="E19" s="120" t="s">
        <v>158</v>
      </c>
      <c r="F19" s="167" t="e">
        <f ca="1">SUM(F14:F18)</f>
        <v>#N/A</v>
      </c>
      <c r="H19" s="133" t="s">
        <v>158</v>
      </c>
      <c r="I19" s="167" t="e">
        <f ca="1">SUM(I14:I18)</f>
        <v>#N/A</v>
      </c>
      <c r="K19" s="133" t="s">
        <v>158</v>
      </c>
      <c r="L19" s="167" t="e">
        <f>SUM(L14:L18)</f>
        <v>#DIV/0!</v>
      </c>
      <c r="N19" s="160" t="s">
        <v>158</v>
      </c>
      <c r="O19" s="167" t="e">
        <f>SUM(O14:O18)</f>
        <v>#DIV/0!</v>
      </c>
    </row>
    <row r="20" spans="2:19" ht="15.75" thickBot="1" x14ac:dyDescent="0.3">
      <c r="H20" s="122"/>
      <c r="I20" s="122"/>
      <c r="K20" s="122"/>
      <c r="L20" s="122"/>
      <c r="N20" s="122"/>
      <c r="O20" s="122"/>
      <c r="S20" s="347"/>
    </row>
    <row r="21" spans="2:19" ht="15.75" thickBot="1" x14ac:dyDescent="0.3">
      <c r="B21" s="319" t="s">
        <v>195</v>
      </c>
      <c r="C21" s="320" t="e">
        <f ca="1">C10-C19</f>
        <v>#DIV/0!</v>
      </c>
      <c r="E21" s="128" t="s">
        <v>195</v>
      </c>
      <c r="F21" s="127" t="e">
        <f ca="1">F10-F19</f>
        <v>#N/A</v>
      </c>
      <c r="H21" s="128" t="s">
        <v>195</v>
      </c>
      <c r="I21" s="134" t="e">
        <f ca="1">I10-I19</f>
        <v>#N/A</v>
      </c>
      <c r="K21" s="128" t="s">
        <v>195</v>
      </c>
      <c r="L21" s="134" t="e">
        <f ca="1">L10-L19</f>
        <v>#N/A</v>
      </c>
      <c r="N21" s="128" t="s">
        <v>195</v>
      </c>
      <c r="O21" s="163" t="e">
        <f ca="1">O10-O19</f>
        <v>#N/A</v>
      </c>
      <c r="S21" s="347" t="s">
        <v>41</v>
      </c>
    </row>
    <row r="22" spans="2:19" s="122" customFormat="1" x14ac:dyDescent="0.25">
      <c r="B22" s="321" t="s">
        <v>274</v>
      </c>
      <c r="C22" s="322" t="e">
        <f ca="1">$C$21-C21</f>
        <v>#DIV/0!</v>
      </c>
      <c r="E22" s="321" t="s">
        <v>274</v>
      </c>
      <c r="F22" s="322" t="e">
        <f ca="1">F21-$C$21</f>
        <v>#N/A</v>
      </c>
      <c r="H22" s="321" t="s">
        <v>274</v>
      </c>
      <c r="I22" s="322" t="e">
        <f ca="1">I21-$C$21</f>
        <v>#N/A</v>
      </c>
      <c r="K22" s="321" t="s">
        <v>274</v>
      </c>
      <c r="L22" s="322" t="e">
        <f ca="1">L21-$C$21</f>
        <v>#N/A</v>
      </c>
      <c r="N22" s="321" t="s">
        <v>274</v>
      </c>
      <c r="O22" s="322" t="e">
        <f ca="1">O21-$C$21</f>
        <v>#N/A</v>
      </c>
      <c r="S22" s="347" t="s">
        <v>285</v>
      </c>
    </row>
    <row r="23" spans="2:19" ht="15.75" thickBot="1" x14ac:dyDescent="0.3">
      <c r="S23" s="347" t="s">
        <v>294</v>
      </c>
    </row>
    <row r="24" spans="2:19" x14ac:dyDescent="0.25">
      <c r="K24" s="396" t="s">
        <v>189</v>
      </c>
      <c r="L24" s="397"/>
      <c r="M24" s="397"/>
      <c r="N24" s="397"/>
      <c r="O24" s="398"/>
      <c r="S24" s="347" t="s">
        <v>295</v>
      </c>
    </row>
    <row r="25" spans="2:19" ht="15.75" thickBot="1" x14ac:dyDescent="0.3">
      <c r="K25" s="399"/>
      <c r="L25" s="400"/>
      <c r="M25" s="400"/>
      <c r="N25" s="400"/>
      <c r="O25" s="401"/>
      <c r="S25" s="347" t="s">
        <v>296</v>
      </c>
    </row>
    <row r="26" spans="2:19" x14ac:dyDescent="0.25">
      <c r="S26" s="347" t="s">
        <v>297</v>
      </c>
    </row>
    <row r="27" spans="2:19" x14ac:dyDescent="0.25">
      <c r="K27" s="215" t="s">
        <v>224</v>
      </c>
      <c r="L27" s="214"/>
      <c r="M27" s="214"/>
      <c r="N27" s="215" t="s">
        <v>224</v>
      </c>
      <c r="S27" s="347" t="s">
        <v>298</v>
      </c>
    </row>
    <row r="28" spans="2:19" x14ac:dyDescent="0.25">
      <c r="K28" s="215" t="s">
        <v>225</v>
      </c>
      <c r="L28" s="214"/>
      <c r="M28" s="214"/>
      <c r="N28" s="215" t="s">
        <v>226</v>
      </c>
    </row>
    <row r="29" spans="2:19" x14ac:dyDescent="0.25">
      <c r="K29" s="394" t="s">
        <v>190</v>
      </c>
      <c r="L29" s="395"/>
      <c r="M29" s="122"/>
      <c r="N29" s="394" t="s">
        <v>190</v>
      </c>
      <c r="O29" s="395"/>
    </row>
    <row r="30" spans="2:19" x14ac:dyDescent="0.25">
      <c r="K30" s="112" t="s">
        <v>124</v>
      </c>
      <c r="L30" s="126" t="e">
        <f ca="1">Myyntituotot!R42</f>
        <v>#N/A</v>
      </c>
      <c r="M30" s="122"/>
      <c r="N30" s="112" t="s">
        <v>124</v>
      </c>
      <c r="O30" s="126" t="e">
        <f ca="1">Myyntituotot!W42</f>
        <v>#N/A</v>
      </c>
    </row>
    <row r="31" spans="2:19" x14ac:dyDescent="0.25">
      <c r="K31" s="123" t="s">
        <v>125</v>
      </c>
      <c r="L31" s="126">
        <f>Myyntituotot!R41</f>
        <v>0</v>
      </c>
      <c r="M31" s="122"/>
      <c r="N31" s="123" t="s">
        <v>125</v>
      </c>
      <c r="O31" s="126">
        <f>Myyntituotot!W41</f>
        <v>0</v>
      </c>
    </row>
    <row r="32" spans="2:19" x14ac:dyDescent="0.25">
      <c r="K32" s="123" t="s">
        <v>155</v>
      </c>
      <c r="L32" s="126" t="e">
        <f ca="1">'Eläintuet &amp; palkkiot'!R67</f>
        <v>#DIV/0!</v>
      </c>
      <c r="M32" s="122"/>
      <c r="N32" s="123" t="s">
        <v>155</v>
      </c>
      <c r="O32" s="126" t="e">
        <f ca="1">'Eläintuet &amp; palkkiot'!W67</f>
        <v>#DIV/0!</v>
      </c>
    </row>
    <row r="33" spans="11:15" x14ac:dyDescent="0.25">
      <c r="K33" s="123" t="s">
        <v>154</v>
      </c>
      <c r="L33" s="126" t="e">
        <f ca="1">Myyntituotot!T47+Myyntituotot!S50</f>
        <v>#N/A</v>
      </c>
      <c r="M33" s="122"/>
      <c r="N33" s="123" t="s">
        <v>154</v>
      </c>
      <c r="O33" s="126" t="e">
        <f ca="1">Myyntituotot!Y47+Myyntituotot!X50</f>
        <v>#N/A</v>
      </c>
    </row>
    <row r="34" spans="11:15" x14ac:dyDescent="0.25">
      <c r="K34" s="124"/>
      <c r="L34" s="126"/>
      <c r="M34" s="122"/>
      <c r="N34" s="124"/>
      <c r="O34" s="126"/>
    </row>
    <row r="35" spans="11:15" x14ac:dyDescent="0.25">
      <c r="K35" s="124" t="s">
        <v>158</v>
      </c>
      <c r="L35" s="162" t="e">
        <f ca="1">SUM(L30:L34)</f>
        <v>#N/A</v>
      </c>
      <c r="M35" s="122"/>
      <c r="N35" s="124" t="s">
        <v>158</v>
      </c>
      <c r="O35" s="162" t="e">
        <f ca="1">SUM(O30:O34)</f>
        <v>#N/A</v>
      </c>
    </row>
    <row r="36" spans="11:15" x14ac:dyDescent="0.25">
      <c r="K36" s="122"/>
      <c r="L36" s="122"/>
      <c r="M36" s="122"/>
      <c r="N36" s="122"/>
      <c r="O36" s="122"/>
    </row>
    <row r="37" spans="11:15" x14ac:dyDescent="0.25">
      <c r="K37" s="122"/>
      <c r="L37" s="122"/>
      <c r="M37" s="122"/>
      <c r="N37" s="122"/>
      <c r="O37" s="122"/>
    </row>
    <row r="38" spans="11:15" x14ac:dyDescent="0.25">
      <c r="K38" s="394" t="s">
        <v>304</v>
      </c>
      <c r="L38" s="395"/>
      <c r="M38" s="122"/>
      <c r="N38" s="394" t="s">
        <v>304</v>
      </c>
      <c r="O38" s="395"/>
    </row>
    <row r="39" spans="11:15" x14ac:dyDescent="0.25">
      <c r="K39" s="112" t="s">
        <v>194</v>
      </c>
      <c r="L39" s="161" t="e">
        <f>Työkustannukset!Z64</f>
        <v>#DIV/0!</v>
      </c>
      <c r="M39" s="122"/>
      <c r="N39" s="112" t="s">
        <v>194</v>
      </c>
      <c r="O39" s="161" t="e">
        <f>Työkustannukset!AG64</f>
        <v>#DIV/0!</v>
      </c>
    </row>
    <row r="40" spans="11:15" ht="14.25" customHeight="1" x14ac:dyDescent="0.25">
      <c r="K40" s="123" t="s">
        <v>156</v>
      </c>
      <c r="L40" s="161" t="e">
        <f>'Ruokinnan kustannukset'!Z58</f>
        <v>#DIV/0!</v>
      </c>
      <c r="M40" s="122"/>
      <c r="N40" s="123" t="s">
        <v>156</v>
      </c>
      <c r="O40" s="161" t="e">
        <f ca="1">'Ruokinnan kustannukset'!AF58</f>
        <v>#N/A</v>
      </c>
    </row>
    <row r="41" spans="11:15" s="122" customFormat="1" ht="14.25" customHeight="1" x14ac:dyDescent="0.25">
      <c r="K41" s="123" t="s">
        <v>191</v>
      </c>
      <c r="L41" s="164" t="e">
        <f ca="1">Kuivituskustannukset!AE21</f>
        <v>#DIV/0!</v>
      </c>
      <c r="N41" s="123" t="s">
        <v>191</v>
      </c>
      <c r="O41" s="164" t="e">
        <f ca="1">Kuivituskustannukset!AJ21</f>
        <v>#DIV/0!</v>
      </c>
    </row>
    <row r="42" spans="11:15" x14ac:dyDescent="0.25">
      <c r="K42" s="123" t="s">
        <v>192</v>
      </c>
      <c r="L42" s="161" t="e">
        <f>'Uudistus &amp; muut kust.'!D11*Lähtötiedot!O43</f>
        <v>#DIV/0!</v>
      </c>
      <c r="M42" s="122"/>
      <c r="N42" s="123" t="s">
        <v>192</v>
      </c>
      <c r="O42" s="161" t="e">
        <f>'Uudistus &amp; muut kust.'!D11*Lähtötiedot!S43*Lähtötiedot!S50</f>
        <v>#DIV/0!</v>
      </c>
    </row>
    <row r="43" spans="11:15" x14ac:dyDescent="0.25">
      <c r="K43" s="124" t="s">
        <v>193</v>
      </c>
      <c r="L43" s="161" t="e">
        <f ca="1">'Uudistus &amp; muut kust.'!AI37+'Uudistus &amp; muut kust.'!AI40</f>
        <v>#DIV/0!</v>
      </c>
      <c r="M43" s="122"/>
      <c r="N43" s="124" t="s">
        <v>193</v>
      </c>
      <c r="O43" s="161" t="e">
        <f ca="1">'Uudistus &amp; muut kust.'!AO37+'Uudistus &amp; muut kust.'!AO40</f>
        <v>#DIV/0!</v>
      </c>
    </row>
    <row r="44" spans="11:15" x14ac:dyDescent="0.25">
      <c r="K44" s="160" t="s">
        <v>158</v>
      </c>
      <c r="L44" s="167" t="e">
        <f>SUM(L39:L43)</f>
        <v>#DIV/0!</v>
      </c>
      <c r="M44" s="122"/>
      <c r="N44" s="160" t="s">
        <v>158</v>
      </c>
      <c r="O44" s="167" t="e">
        <f>SUM(O39:O43)</f>
        <v>#DIV/0!</v>
      </c>
    </row>
    <row r="45" spans="11:15" ht="15.75" thickBot="1" x14ac:dyDescent="0.3">
      <c r="K45" s="122"/>
      <c r="L45" s="122"/>
      <c r="M45" s="122"/>
      <c r="N45" s="122"/>
      <c r="O45" s="122"/>
    </row>
    <row r="46" spans="11:15" ht="15.75" thickBot="1" x14ac:dyDescent="0.3">
      <c r="K46" s="128" t="s">
        <v>195</v>
      </c>
      <c r="L46" s="163" t="e">
        <f ca="1">L35-L44</f>
        <v>#N/A</v>
      </c>
      <c r="M46" s="122"/>
      <c r="N46" s="128" t="s">
        <v>195</v>
      </c>
      <c r="O46" s="163" t="e">
        <f ca="1">O35-O44</f>
        <v>#N/A</v>
      </c>
    </row>
    <row r="47" spans="11:15" x14ac:dyDescent="0.25">
      <c r="K47" s="321" t="s">
        <v>274</v>
      </c>
      <c r="L47" s="322" t="e">
        <f ca="1">L46-$C$21</f>
        <v>#N/A</v>
      </c>
      <c r="N47" s="321" t="s">
        <v>274</v>
      </c>
      <c r="O47" s="322" t="e">
        <f ca="1">O46-$C$21</f>
        <v>#N/A</v>
      </c>
    </row>
  </sheetData>
  <sheetProtection algorithmName="SHA-512" hashValue="dTGowh1SPkzpHmCS3zBWGCiUEXx4MS2cEOdhWdNcTeSJFLtD2A9MnR3NUGPkfwyt9DCKpeLJovaexjYlDHJcxw==" saltValue="E7L2+BpwT88DTFXfOcuujA==" spinCount="100000" sheet="1" objects="1" scenarios="1"/>
  <mergeCells count="15">
    <mergeCell ref="B4:C4"/>
    <mergeCell ref="B13:C13"/>
    <mergeCell ref="E4:F4"/>
    <mergeCell ref="E13:F13"/>
    <mergeCell ref="H4:I4"/>
    <mergeCell ref="H13:I13"/>
    <mergeCell ref="K38:L38"/>
    <mergeCell ref="N38:O38"/>
    <mergeCell ref="N4:O4"/>
    <mergeCell ref="N13:O13"/>
    <mergeCell ref="K24:O25"/>
    <mergeCell ref="K29:L29"/>
    <mergeCell ref="N29:O29"/>
    <mergeCell ref="K4:L4"/>
    <mergeCell ref="K13:L13"/>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E231"/>
  <sheetViews>
    <sheetView zoomScaleNormal="100" workbookViewId="0">
      <selection activeCell="D68" sqref="D68"/>
    </sheetView>
  </sheetViews>
  <sheetFormatPr defaultRowHeight="15" x14ac:dyDescent="0.25"/>
  <cols>
    <col min="1" max="1" width="4.28515625" style="308" customWidth="1"/>
    <col min="2" max="2" width="5.140625" style="122" customWidth="1"/>
    <col min="3" max="3" width="9.85546875" customWidth="1"/>
    <col min="4" max="4" width="20.5703125" customWidth="1"/>
    <col min="5" max="5" width="11.5703125" customWidth="1"/>
    <col min="6" max="6" width="13.42578125" bestFit="1" customWidth="1"/>
    <col min="7" max="7" width="12.42578125" bestFit="1" customWidth="1"/>
    <col min="8" max="8" width="12" customWidth="1"/>
    <col min="10" max="10" width="14" bestFit="1" customWidth="1"/>
    <col min="11" max="11" width="11.28515625" customWidth="1"/>
    <col min="12" max="12" width="12" customWidth="1"/>
    <col min="13" max="13" width="11.5703125" customWidth="1"/>
    <col min="14" max="14" width="29.5703125" hidden="1" customWidth="1"/>
    <col min="15" max="15" width="17.140625" hidden="1" customWidth="1"/>
    <col min="16" max="16" width="10.7109375" hidden="1" customWidth="1"/>
    <col min="17" max="17" width="10" hidden="1" customWidth="1"/>
    <col min="18" max="18" width="4.42578125" style="308" customWidth="1"/>
    <col min="19" max="19" width="4.28515625" style="311" customWidth="1"/>
    <col min="20" max="20" width="5.140625" style="122" customWidth="1"/>
    <col min="21" max="21" width="5.140625" customWidth="1"/>
    <col min="22" max="22" width="26.7109375" customWidth="1"/>
    <col min="23" max="23" width="11.5703125" customWidth="1"/>
    <col min="24" max="24" width="13.42578125" bestFit="1" customWidth="1"/>
    <col min="25" max="25" width="12.42578125" bestFit="1" customWidth="1"/>
    <col min="26" max="26" width="12" customWidth="1"/>
    <col min="28" max="28" width="14" bestFit="1" customWidth="1"/>
    <col min="29" max="29" width="11.28515625" customWidth="1"/>
    <col min="30" max="30" width="12" customWidth="1"/>
    <col min="31" max="31" width="6.28515625" style="122" customWidth="1"/>
    <col min="32" max="32" width="4.28515625" style="311" customWidth="1"/>
    <col min="33" max="33" width="4.28515625" style="308" customWidth="1"/>
    <col min="34" max="34" width="5.140625" style="122" customWidth="1"/>
    <col min="35" max="35" width="4.42578125" customWidth="1"/>
    <col min="36" max="36" width="27.140625" customWidth="1"/>
    <col min="37" max="37" width="11.5703125" customWidth="1"/>
    <col min="38" max="38" width="13.42578125" bestFit="1" customWidth="1"/>
    <col min="39" max="39" width="12.42578125" bestFit="1" customWidth="1"/>
    <col min="40" max="40" width="12" customWidth="1"/>
    <col min="42" max="42" width="16.42578125" bestFit="1" customWidth="1"/>
    <col min="43" max="43" width="11.28515625" customWidth="1"/>
    <col min="44" max="44" width="12" customWidth="1"/>
    <col min="45" max="45" width="6.5703125" customWidth="1"/>
    <col min="46" max="46" width="4.28515625" style="308" customWidth="1"/>
    <col min="47" max="47" width="4.28515625" style="311" customWidth="1"/>
    <col min="48" max="48" width="4.5703125" style="122" customWidth="1"/>
    <col min="49" max="49" width="4.42578125" customWidth="1"/>
    <col min="50" max="50" width="17.85546875" customWidth="1"/>
    <col min="51" max="51" width="11.5703125" customWidth="1"/>
    <col min="52" max="52" width="13.42578125" bestFit="1" customWidth="1"/>
    <col min="53" max="53" width="12.42578125" bestFit="1" customWidth="1"/>
    <col min="54" max="54" width="12" customWidth="1"/>
    <col min="56" max="56" width="16.42578125" bestFit="1" customWidth="1"/>
    <col min="57" max="57" width="11.28515625" customWidth="1"/>
    <col min="58" max="58" width="12" customWidth="1"/>
    <col min="59" max="59" width="10.7109375" customWidth="1"/>
    <col min="60" max="60" width="4.28515625" style="311" customWidth="1"/>
    <col min="61" max="61" width="4.28515625" style="308" customWidth="1"/>
    <col min="62" max="62" width="5.28515625" customWidth="1"/>
    <col min="63" max="63" width="4.42578125" customWidth="1"/>
    <col min="64" max="64" width="17.85546875" customWidth="1"/>
    <col min="65" max="65" width="11.5703125" customWidth="1"/>
    <col min="66" max="66" width="13.42578125" bestFit="1" customWidth="1"/>
    <col min="67" max="67" width="12.42578125" bestFit="1" customWidth="1"/>
    <col min="68" max="68" width="12" customWidth="1"/>
    <col min="70" max="70" width="14" bestFit="1" customWidth="1"/>
    <col min="71" max="71" width="11.28515625" customWidth="1"/>
    <col min="72" max="72" width="12" customWidth="1"/>
    <col min="73" max="73" width="11.42578125" customWidth="1"/>
    <col min="74" max="74" width="4.28515625" style="308" customWidth="1"/>
    <col min="75" max="75" width="4.28515625" style="311" customWidth="1"/>
  </cols>
  <sheetData>
    <row r="1" spans="1:135" s="287" customFormat="1" ht="21" x14ac:dyDescent="0.35">
      <c r="A1" s="373" t="s">
        <v>267</v>
      </c>
      <c r="B1" s="373"/>
      <c r="C1" s="314"/>
      <c r="D1" s="306" t="s">
        <v>41</v>
      </c>
      <c r="E1" s="307"/>
      <c r="F1" s="307"/>
      <c r="G1" s="307"/>
      <c r="H1" s="307"/>
      <c r="I1" s="307"/>
      <c r="J1" s="307"/>
      <c r="K1" s="307"/>
      <c r="L1" s="307"/>
      <c r="M1" s="307"/>
      <c r="R1" s="307"/>
      <c r="V1" s="288" t="s">
        <v>285</v>
      </c>
      <c r="AG1" s="307"/>
      <c r="AH1" s="307"/>
      <c r="AI1" s="307"/>
      <c r="AJ1" s="306" t="s">
        <v>286</v>
      </c>
      <c r="AK1" s="307"/>
      <c r="AL1" s="307"/>
      <c r="AM1" s="307"/>
      <c r="AN1" s="307"/>
      <c r="AO1" s="307"/>
      <c r="AP1" s="307"/>
      <c r="AQ1" s="307"/>
      <c r="AR1" s="307"/>
      <c r="AS1" s="307"/>
      <c r="AT1" s="307"/>
      <c r="AX1" s="288" t="s">
        <v>224</v>
      </c>
      <c r="BI1" s="307"/>
      <c r="BJ1" s="307"/>
      <c r="BK1" s="307"/>
      <c r="BL1" s="306" t="s">
        <v>224</v>
      </c>
      <c r="BM1" s="307"/>
      <c r="BN1" s="307"/>
      <c r="BO1" s="307"/>
      <c r="BP1" s="307"/>
      <c r="BQ1" s="307"/>
      <c r="BR1" s="307"/>
      <c r="BS1" s="307"/>
      <c r="BT1" s="307"/>
      <c r="BU1" s="307"/>
      <c r="BV1" s="307"/>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row>
    <row r="2" spans="1:135" s="287" customFormat="1" ht="21" x14ac:dyDescent="0.35">
      <c r="A2" s="307"/>
      <c r="B2" s="307"/>
      <c r="C2" s="307"/>
      <c r="D2" s="306"/>
      <c r="E2" s="307"/>
      <c r="F2" s="307"/>
      <c r="G2" s="307"/>
      <c r="H2" s="307"/>
      <c r="I2" s="307"/>
      <c r="J2" s="307"/>
      <c r="K2" s="307"/>
      <c r="L2" s="307"/>
      <c r="M2" s="307"/>
      <c r="R2" s="307"/>
      <c r="V2" s="288"/>
      <c r="AG2" s="307"/>
      <c r="AH2" s="307"/>
      <c r="AI2" s="307"/>
      <c r="AJ2" s="306" t="s">
        <v>287</v>
      </c>
      <c r="AK2" s="307"/>
      <c r="AL2" s="307"/>
      <c r="AM2" s="307"/>
      <c r="AN2" s="307"/>
      <c r="AO2" s="307"/>
      <c r="AP2" s="307"/>
      <c r="AQ2" s="307"/>
      <c r="AR2" s="307"/>
      <c r="AS2" s="307"/>
      <c r="AT2" s="307"/>
      <c r="AX2" s="288" t="s">
        <v>225</v>
      </c>
      <c r="BI2" s="307"/>
      <c r="BJ2" s="307"/>
      <c r="BK2" s="307"/>
      <c r="BL2" s="306" t="s">
        <v>226</v>
      </c>
      <c r="BM2" s="307"/>
      <c r="BN2" s="307"/>
      <c r="BO2" s="307"/>
      <c r="BP2" s="307"/>
      <c r="BQ2" s="307"/>
      <c r="BR2" s="307"/>
      <c r="BS2" s="307"/>
      <c r="BT2" s="307"/>
      <c r="BU2" s="307"/>
      <c r="BV2" s="307"/>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row>
    <row r="3" spans="1:135" s="122" customFormat="1" ht="15.75" thickBot="1" x14ac:dyDescent="0.3">
      <c r="A3" s="308"/>
      <c r="D3" s="108"/>
      <c r="R3" s="308"/>
      <c r="S3" s="311"/>
      <c r="V3" s="108"/>
      <c r="AF3" s="311"/>
      <c r="AG3" s="308"/>
      <c r="AT3" s="308"/>
      <c r="AU3" s="311"/>
      <c r="BH3" s="311"/>
      <c r="BI3" s="308"/>
      <c r="BV3" s="308"/>
      <c r="BW3" s="311"/>
    </row>
    <row r="4" spans="1:135" s="122" customFormat="1" ht="15.75" thickBot="1" x14ac:dyDescent="0.3">
      <c r="A4" s="308"/>
      <c r="D4" s="184"/>
      <c r="E4" s="89" t="s">
        <v>1</v>
      </c>
      <c r="R4" s="308"/>
      <c r="S4" s="311"/>
      <c r="V4" s="364" t="s">
        <v>166</v>
      </c>
      <c r="W4" s="365"/>
      <c r="X4" s="366"/>
      <c r="AF4" s="311"/>
      <c r="AG4" s="308"/>
      <c r="AJ4" s="364" t="s">
        <v>166</v>
      </c>
      <c r="AK4" s="365"/>
      <c r="AL4" s="366"/>
      <c r="AT4" s="308"/>
      <c r="AU4" s="311"/>
      <c r="BH4" s="311"/>
      <c r="BI4" s="308"/>
      <c r="BV4" s="308"/>
      <c r="BW4" s="311"/>
    </row>
    <row r="5" spans="1:135" s="97" customFormat="1" x14ac:dyDescent="0.25">
      <c r="A5" s="308"/>
      <c r="B5" s="122"/>
      <c r="D5" s="185" t="s">
        <v>0</v>
      </c>
      <c r="E5" s="113">
        <f>Lähtötiedot!C8</f>
        <v>0</v>
      </c>
      <c r="R5" s="308"/>
      <c r="S5" s="311"/>
      <c r="T5" s="122"/>
      <c r="V5" s="286" t="s">
        <v>265</v>
      </c>
      <c r="W5" s="357" t="e">
        <f>L102-G109</f>
        <v>#N/A</v>
      </c>
      <c r="X5" s="357"/>
      <c r="Y5" s="122"/>
      <c r="Z5" s="122"/>
      <c r="AA5" s="122"/>
      <c r="AB5" s="122"/>
      <c r="AC5" s="122"/>
      <c r="AE5" s="122"/>
      <c r="AF5" s="311"/>
      <c r="AG5" s="308"/>
      <c r="AH5" s="122"/>
      <c r="AJ5" s="286" t="s">
        <v>265</v>
      </c>
      <c r="AK5" s="357" t="e">
        <f>L102-G109</f>
        <v>#N/A</v>
      </c>
      <c r="AL5" s="357"/>
      <c r="AM5" s="122"/>
      <c r="AN5" s="122"/>
      <c r="AO5" s="122"/>
      <c r="AP5" s="122"/>
      <c r="AQ5" s="122"/>
      <c r="AR5" s="122"/>
      <c r="AT5" s="308"/>
      <c r="AU5" s="311"/>
      <c r="AV5" s="122"/>
      <c r="BC5" s="122"/>
      <c r="BD5" s="122"/>
      <c r="BE5" s="122"/>
      <c r="BF5" s="122"/>
      <c r="BG5" s="122"/>
      <c r="BH5" s="311"/>
      <c r="BI5" s="308"/>
      <c r="BJ5" s="122"/>
      <c r="BK5" s="122"/>
      <c r="BL5" s="122"/>
      <c r="BM5" s="122"/>
      <c r="BN5" s="122"/>
      <c r="BO5" s="122"/>
      <c r="BP5" s="122"/>
      <c r="BQ5" s="122"/>
      <c r="BR5" s="122"/>
      <c r="BS5" s="122"/>
      <c r="BT5" s="122"/>
      <c r="BV5" s="308"/>
      <c r="BW5" s="311"/>
    </row>
    <row r="6" spans="1:135" x14ac:dyDescent="0.25">
      <c r="C6" s="56"/>
      <c r="D6" s="89" t="s">
        <v>162</v>
      </c>
      <c r="E6" s="92">
        <f>Lähtötiedot!C17</f>
        <v>0</v>
      </c>
      <c r="F6" s="56"/>
      <c r="G6" s="56"/>
      <c r="H6" s="56"/>
      <c r="I6" s="56"/>
      <c r="J6" s="56"/>
      <c r="K6" s="56"/>
      <c r="L6" s="56"/>
      <c r="V6" s="231" t="s">
        <v>172</v>
      </c>
      <c r="W6" s="357" t="e">
        <f ca="1">AB33+AB53+AB43</f>
        <v>#N/A</v>
      </c>
      <c r="X6" s="357"/>
      <c r="Y6" s="122"/>
      <c r="Z6" s="122"/>
      <c r="AA6" s="122"/>
      <c r="AJ6" s="231" t="s">
        <v>172</v>
      </c>
      <c r="AK6" s="357" t="e">
        <f ca="1">AP33+AP53+AP43</f>
        <v>#N/A</v>
      </c>
      <c r="AL6" s="357"/>
      <c r="AM6" s="122"/>
      <c r="AN6" s="122"/>
      <c r="AO6" s="122"/>
      <c r="AP6" s="122"/>
      <c r="AQ6" s="122"/>
      <c r="AR6" s="122"/>
      <c r="AX6" s="184"/>
      <c r="AY6" s="209" t="s">
        <v>1</v>
      </c>
      <c r="BC6" s="122"/>
      <c r="BD6" s="122"/>
      <c r="BE6" s="122"/>
      <c r="BF6" s="122"/>
      <c r="BG6" s="122"/>
      <c r="BJ6" s="122"/>
      <c r="BK6" s="122"/>
      <c r="BL6" s="184"/>
      <c r="BM6" s="209" t="s">
        <v>1</v>
      </c>
      <c r="BN6" s="122"/>
      <c r="BO6" s="122"/>
      <c r="BP6" s="122"/>
      <c r="BQ6" s="122"/>
      <c r="BR6" s="122"/>
      <c r="BS6" s="122"/>
      <c r="BT6" s="122"/>
    </row>
    <row r="7" spans="1:135" s="79" customFormat="1" x14ac:dyDescent="0.25">
      <c r="A7" s="308"/>
      <c r="B7" s="122"/>
      <c r="D7" s="89" t="s">
        <v>163</v>
      </c>
      <c r="E7" s="92">
        <f>Lähtötiedot!C16</f>
        <v>0</v>
      </c>
      <c r="R7" s="308"/>
      <c r="S7" s="311"/>
      <c r="T7" s="122"/>
      <c r="V7" s="74" t="s">
        <v>171</v>
      </c>
      <c r="W7" s="367" t="e">
        <f ca="1">W5-W6-AB57</f>
        <v>#N/A</v>
      </c>
      <c r="X7" s="367"/>
      <c r="Z7" s="122"/>
      <c r="AA7" s="122"/>
      <c r="AE7" s="122"/>
      <c r="AF7" s="311"/>
      <c r="AG7" s="308"/>
      <c r="AH7" s="122"/>
      <c r="AJ7" s="74" t="s">
        <v>171</v>
      </c>
      <c r="AK7" s="367" t="e">
        <f ca="1">AK5-AK6-AP57</f>
        <v>#N/A</v>
      </c>
      <c r="AL7" s="367"/>
      <c r="AM7" s="122"/>
      <c r="AN7" s="122"/>
      <c r="AO7" s="122"/>
      <c r="AP7" s="122"/>
      <c r="AQ7" s="122"/>
      <c r="AR7" s="122"/>
      <c r="AT7" s="308"/>
      <c r="AU7" s="311"/>
      <c r="AV7" s="122"/>
      <c r="AX7" s="185" t="s">
        <v>0</v>
      </c>
      <c r="AY7" s="152">
        <f>Lähtötiedot!O8</f>
        <v>0</v>
      </c>
      <c r="BC7" s="122"/>
      <c r="BD7" s="122"/>
      <c r="BE7" s="122"/>
      <c r="BF7" s="122"/>
      <c r="BG7" s="122"/>
      <c r="BH7" s="311"/>
      <c r="BI7" s="308"/>
      <c r="BJ7" s="122"/>
      <c r="BK7" s="122"/>
      <c r="BL7" s="185" t="s">
        <v>0</v>
      </c>
      <c r="BM7" s="161">
        <f>Lähtötiedot!S8</f>
        <v>0</v>
      </c>
      <c r="BN7" s="122"/>
      <c r="BO7" s="122"/>
      <c r="BP7" s="122"/>
      <c r="BQ7" s="122"/>
      <c r="BR7" s="122"/>
      <c r="BS7" s="122"/>
      <c r="BT7" s="122"/>
      <c r="BV7" s="308"/>
      <c r="BW7" s="311"/>
    </row>
    <row r="8" spans="1:135" s="79" customFormat="1" x14ac:dyDescent="0.25">
      <c r="A8" s="308"/>
      <c r="B8" s="122"/>
      <c r="D8" s="89" t="s">
        <v>176</v>
      </c>
      <c r="E8" s="172">
        <f>Lähtötiedot!C18</f>
        <v>0</v>
      </c>
      <c r="R8" s="308"/>
      <c r="S8" s="311"/>
      <c r="T8" s="122"/>
      <c r="V8" s="231" t="s">
        <v>159</v>
      </c>
      <c r="W8" s="357" t="e">
        <f>H28</f>
        <v>#N/A</v>
      </c>
      <c r="X8" s="357"/>
      <c r="Z8" s="122"/>
      <c r="AA8" s="122"/>
      <c r="AE8" s="122"/>
      <c r="AF8" s="311"/>
      <c r="AG8" s="308"/>
      <c r="AH8" s="122"/>
      <c r="AJ8" s="231" t="s">
        <v>159</v>
      </c>
      <c r="AK8" s="357" t="e">
        <f>AN29</f>
        <v>#N/A</v>
      </c>
      <c r="AL8" s="357"/>
      <c r="AM8" s="122"/>
      <c r="AN8" s="122"/>
      <c r="AO8" s="122"/>
      <c r="AP8" s="122"/>
      <c r="AQ8" s="122"/>
      <c r="AR8" s="122"/>
      <c r="AT8" s="308"/>
      <c r="AU8" s="311"/>
      <c r="AV8" s="122"/>
      <c r="AX8" s="209" t="s">
        <v>162</v>
      </c>
      <c r="AY8" s="152" t="e">
        <f ca="1">Lähtötiedot!O17</f>
        <v>#N/A</v>
      </c>
      <c r="BC8" s="122"/>
      <c r="BD8" s="122"/>
      <c r="BE8" s="122"/>
      <c r="BF8" s="122"/>
      <c r="BG8" s="122"/>
      <c r="BH8" s="311"/>
      <c r="BI8" s="308"/>
      <c r="BJ8" s="122"/>
      <c r="BK8" s="122"/>
      <c r="BL8" s="209" t="s">
        <v>162</v>
      </c>
      <c r="BM8" s="161" t="e">
        <f ca="1">Lähtötiedot!S17</f>
        <v>#N/A</v>
      </c>
      <c r="BN8" s="122"/>
      <c r="BO8" s="122"/>
      <c r="BP8" s="122"/>
      <c r="BQ8" s="122"/>
      <c r="BR8" s="122"/>
      <c r="BS8" s="122"/>
      <c r="BT8" s="122"/>
      <c r="BV8" s="308"/>
      <c r="BW8" s="311"/>
    </row>
    <row r="9" spans="1:135" x14ac:dyDescent="0.25">
      <c r="C9" s="56"/>
      <c r="D9" s="122"/>
      <c r="E9" s="122"/>
      <c r="F9" s="56"/>
      <c r="G9" s="56"/>
      <c r="H9" s="56"/>
      <c r="I9" s="56"/>
      <c r="J9" s="56"/>
      <c r="K9" s="56"/>
      <c r="L9" s="56"/>
      <c r="V9" s="231" t="s">
        <v>160</v>
      </c>
      <c r="W9" s="357" t="e">
        <f ca="1">INT(W7/W8)</f>
        <v>#N/A</v>
      </c>
      <c r="X9" s="357"/>
      <c r="Z9" s="122"/>
      <c r="AJ9" s="231" t="s">
        <v>160</v>
      </c>
      <c r="AK9" s="357" t="e">
        <f ca="1">INT(AK7/AK8)</f>
        <v>#N/A</v>
      </c>
      <c r="AL9" s="357"/>
      <c r="AM9" s="122"/>
      <c r="AN9" s="122"/>
      <c r="AO9" s="122"/>
      <c r="AP9" s="122"/>
      <c r="AQ9" s="122"/>
      <c r="AR9" s="122"/>
      <c r="AX9" s="209" t="s">
        <v>163</v>
      </c>
      <c r="AY9" s="152">
        <f>Lähtötiedot!O16</f>
        <v>0</v>
      </c>
      <c r="BC9" s="122"/>
      <c r="BD9" s="122"/>
      <c r="BE9" s="122"/>
      <c r="BF9" s="122"/>
      <c r="BG9" s="122"/>
      <c r="BJ9" s="122"/>
      <c r="BK9" s="122"/>
      <c r="BL9" s="209" t="s">
        <v>163</v>
      </c>
      <c r="BM9" s="161">
        <f>Lähtötiedot!S16</f>
        <v>0</v>
      </c>
      <c r="BN9" s="122"/>
      <c r="BO9" s="122"/>
      <c r="BP9" s="122"/>
      <c r="BQ9" s="122"/>
      <c r="BR9" s="122"/>
      <c r="BS9" s="122"/>
      <c r="BT9" s="122"/>
    </row>
    <row r="10" spans="1:135" x14ac:dyDescent="0.25">
      <c r="C10" s="56"/>
      <c r="D10" s="56"/>
      <c r="E10" s="56"/>
      <c r="F10" s="56"/>
      <c r="G10" s="56"/>
      <c r="H10" s="56"/>
      <c r="I10" s="56"/>
      <c r="J10" s="56"/>
      <c r="K10" s="56"/>
      <c r="L10" s="56"/>
      <c r="V10" s="231" t="s">
        <v>164</v>
      </c>
      <c r="W10" s="363">
        <f>Lähtötiedot!G15</f>
        <v>0</v>
      </c>
      <c r="X10" s="363"/>
      <c r="Y10" s="122"/>
      <c r="Z10" s="122"/>
      <c r="AA10" s="122"/>
      <c r="AB10" s="122"/>
      <c r="AC10" s="122"/>
      <c r="AJ10" s="231" t="s">
        <v>164</v>
      </c>
      <c r="AK10" s="363">
        <v>0.1</v>
      </c>
      <c r="AL10" s="363"/>
      <c r="AM10" s="122"/>
      <c r="AN10" s="122"/>
      <c r="AO10" s="122"/>
      <c r="AP10" s="122"/>
      <c r="AQ10" s="122"/>
      <c r="AR10" s="122"/>
      <c r="AX10" s="209" t="s">
        <v>176</v>
      </c>
      <c r="AY10" s="152" t="e">
        <f ca="1">Lähtötiedot!O18</f>
        <v>#N/A</v>
      </c>
      <c r="BC10" s="122"/>
      <c r="BD10" s="122"/>
      <c r="BE10" s="122"/>
      <c r="BF10" s="122"/>
      <c r="BG10" s="122"/>
      <c r="BJ10" s="122"/>
      <c r="BK10" s="122"/>
      <c r="BL10" s="209" t="s">
        <v>176</v>
      </c>
      <c r="BM10" s="161" t="e">
        <f ca="1">Lähtötiedot!S18</f>
        <v>#N/A</v>
      </c>
      <c r="BN10" s="122"/>
      <c r="BO10" s="122"/>
      <c r="BP10" s="122"/>
      <c r="BQ10" s="122"/>
      <c r="BR10" s="122"/>
      <c r="BS10" s="122"/>
      <c r="BT10" s="122"/>
    </row>
    <row r="11" spans="1:135" s="36" customFormat="1" x14ac:dyDescent="0.25">
      <c r="A11" s="308"/>
      <c r="B11" s="122"/>
      <c r="C11" s="56"/>
      <c r="D11" s="56"/>
      <c r="E11" s="56"/>
      <c r="F11" s="56"/>
      <c r="G11" s="56"/>
      <c r="H11" s="56"/>
      <c r="I11" s="56"/>
      <c r="J11" s="56"/>
      <c r="K11" s="56"/>
      <c r="L11" s="56"/>
      <c r="R11" s="308"/>
      <c r="S11" s="311"/>
      <c r="T11" s="122"/>
      <c r="V11" s="231" t="s">
        <v>168</v>
      </c>
      <c r="W11" s="357" t="e">
        <f ca="1">ROUND(W9*W10,0)</f>
        <v>#N/A</v>
      </c>
      <c r="X11" s="357"/>
      <c r="AE11" s="122"/>
      <c r="AF11" s="311"/>
      <c r="AG11" s="308"/>
      <c r="AH11" s="122"/>
      <c r="AJ11" s="231" t="s">
        <v>168</v>
      </c>
      <c r="AK11" s="357" t="e">
        <f ca="1">ROUND(AK9*AK10,0)</f>
        <v>#N/A</v>
      </c>
      <c r="AL11" s="357"/>
      <c r="AM11" s="122"/>
      <c r="AN11" s="122"/>
      <c r="AO11" s="122"/>
      <c r="AP11" s="122"/>
      <c r="AQ11" s="122"/>
      <c r="AR11" s="122"/>
      <c r="AT11" s="308"/>
      <c r="AU11" s="311"/>
      <c r="AV11" s="122"/>
      <c r="AY11" s="39"/>
      <c r="BC11" s="122"/>
      <c r="BD11" s="122"/>
      <c r="BE11" s="122"/>
      <c r="BF11" s="122"/>
      <c r="BG11" s="122"/>
      <c r="BH11" s="311"/>
      <c r="BI11" s="308"/>
      <c r="BJ11" s="122"/>
      <c r="BK11" s="122"/>
      <c r="BL11" s="122"/>
      <c r="BM11" s="39"/>
      <c r="BN11" s="122"/>
      <c r="BO11" s="122"/>
      <c r="BP11" s="122"/>
      <c r="BQ11" s="122"/>
      <c r="BR11" s="122"/>
      <c r="BS11" s="122"/>
      <c r="BT11" s="122"/>
      <c r="BV11" s="308"/>
      <c r="BW11" s="311"/>
    </row>
    <row r="12" spans="1:135" s="36" customFormat="1" ht="18.75" x14ac:dyDescent="0.3">
      <c r="A12" s="308"/>
      <c r="B12" s="130"/>
      <c r="C12" s="130" t="s">
        <v>87</v>
      </c>
      <c r="D12" s="99"/>
      <c r="E12" s="99"/>
      <c r="F12" s="99"/>
      <c r="G12" s="179" t="s">
        <v>239</v>
      </c>
      <c r="H12" s="424"/>
      <c r="I12" s="109"/>
      <c r="R12" s="308"/>
      <c r="S12" s="311"/>
      <c r="T12" s="122"/>
      <c r="AE12" s="122"/>
      <c r="AF12" s="311"/>
      <c r="AG12" s="308"/>
      <c r="AH12" s="122"/>
      <c r="AJ12" s="122"/>
      <c r="AK12" s="122"/>
      <c r="AL12" s="122"/>
      <c r="AM12" s="122"/>
      <c r="AN12" s="122"/>
      <c r="AO12" s="122"/>
      <c r="AP12" s="122"/>
      <c r="AQ12" s="122"/>
      <c r="AR12" s="122"/>
      <c r="AT12" s="308"/>
      <c r="AU12" s="311"/>
      <c r="AV12" s="122"/>
      <c r="BC12" s="122"/>
      <c r="BD12" s="122"/>
      <c r="BE12" s="122"/>
      <c r="BF12" s="122"/>
      <c r="BG12" s="122"/>
      <c r="BH12" s="311"/>
      <c r="BI12" s="308"/>
      <c r="BJ12" s="122"/>
      <c r="BK12" s="122"/>
      <c r="BL12" s="122"/>
      <c r="BM12" s="122"/>
      <c r="BN12" s="122"/>
      <c r="BO12" s="122"/>
      <c r="BP12" s="122"/>
      <c r="BQ12" s="122"/>
      <c r="BR12" s="122"/>
      <c r="BS12" s="122"/>
      <c r="BT12" s="122"/>
      <c r="BV12" s="308"/>
      <c r="BW12" s="311"/>
    </row>
    <row r="13" spans="1:135" s="36" customFormat="1" ht="19.5" thickBot="1" x14ac:dyDescent="0.35">
      <c r="A13" s="308"/>
      <c r="B13" s="122"/>
      <c r="D13" s="360"/>
      <c r="E13" s="361"/>
      <c r="F13" s="89" t="s">
        <v>83</v>
      </c>
      <c r="G13" s="89" t="s">
        <v>84</v>
      </c>
      <c r="H13" s="85" t="s">
        <v>85</v>
      </c>
      <c r="I13" s="109"/>
      <c r="J13" s="83" t="s">
        <v>94</v>
      </c>
      <c r="N13"/>
      <c r="O13"/>
      <c r="P13" s="50" t="s">
        <v>96</v>
      </c>
      <c r="Q13"/>
      <c r="R13" s="308"/>
      <c r="S13" s="311"/>
      <c r="T13" s="130"/>
      <c r="U13" s="130" t="s">
        <v>185</v>
      </c>
      <c r="W13" s="99"/>
      <c r="X13" s="97"/>
      <c r="Y13" s="97"/>
      <c r="AE13" s="122"/>
      <c r="AF13" s="311"/>
      <c r="AG13" s="308"/>
      <c r="AH13" s="130"/>
      <c r="AI13" s="130" t="s">
        <v>87</v>
      </c>
      <c r="AK13" s="99"/>
      <c r="AL13" s="122"/>
      <c r="AM13" s="122"/>
      <c r="AN13" s="99"/>
      <c r="AO13" s="99"/>
      <c r="AP13" s="122"/>
      <c r="AQ13" s="122"/>
      <c r="AR13" s="122"/>
      <c r="AT13" s="308"/>
      <c r="AU13" s="311"/>
      <c r="AV13" s="122"/>
      <c r="AX13" s="130" t="s">
        <v>87</v>
      </c>
      <c r="AY13" s="99"/>
      <c r="AZ13" s="122"/>
      <c r="BA13" s="122"/>
      <c r="BB13" s="99"/>
      <c r="BC13" s="99"/>
      <c r="BD13" s="122"/>
      <c r="BE13" s="122"/>
      <c r="BF13" s="122"/>
      <c r="BG13" s="122"/>
      <c r="BH13" s="311"/>
      <c r="BI13" s="308"/>
      <c r="BK13" s="130" t="s">
        <v>185</v>
      </c>
      <c r="BL13" s="122"/>
      <c r="BM13" s="99"/>
      <c r="BN13" s="122"/>
      <c r="BO13" s="122"/>
      <c r="BP13" s="122"/>
      <c r="BQ13" s="122"/>
      <c r="BR13" s="122"/>
      <c r="BS13" s="122"/>
      <c r="BT13" s="122"/>
      <c r="BV13" s="308"/>
      <c r="BW13" s="311"/>
    </row>
    <row r="14" spans="1:135" s="36" customFormat="1" x14ac:dyDescent="0.25">
      <c r="A14" s="308"/>
      <c r="B14" s="122"/>
      <c r="D14" s="356" t="s">
        <v>67</v>
      </c>
      <c r="E14" s="356"/>
      <c r="F14" s="91">
        <v>150</v>
      </c>
      <c r="G14" s="113" t="e">
        <f>VLOOKUP(H12,Kasvuapu!T4:U94,2)</f>
        <v>#N/A</v>
      </c>
      <c r="H14" s="113" t="e">
        <f>F14*G14</f>
        <v>#N/A</v>
      </c>
      <c r="J14" s="115" t="e">
        <f>Lähtötiedot!$C$8*H14</f>
        <v>#N/A</v>
      </c>
      <c r="N14" s="41" t="s">
        <v>88</v>
      </c>
      <c r="O14" s="42"/>
      <c r="P14" s="98"/>
      <c r="Q14" s="44"/>
      <c r="R14" s="309"/>
      <c r="S14" s="312"/>
      <c r="T14" s="122"/>
      <c r="U14" s="97"/>
      <c r="V14" s="360"/>
      <c r="W14" s="361"/>
      <c r="X14" s="209" t="s">
        <v>94</v>
      </c>
      <c r="Y14" s="122"/>
      <c r="AE14" s="122"/>
      <c r="AF14" s="311"/>
      <c r="AG14" s="308"/>
      <c r="AH14" s="122"/>
      <c r="AJ14" s="360"/>
      <c r="AK14" s="361"/>
      <c r="AL14" s="209" t="s">
        <v>83</v>
      </c>
      <c r="AM14" s="209" t="s">
        <v>84</v>
      </c>
      <c r="AN14" s="209" t="s">
        <v>85</v>
      </c>
      <c r="AO14" s="122"/>
      <c r="AP14" s="83" t="s">
        <v>94</v>
      </c>
      <c r="AQ14" s="122"/>
      <c r="AR14" s="122"/>
      <c r="AT14" s="308"/>
      <c r="AU14" s="311"/>
      <c r="AV14" s="122"/>
      <c r="AX14" s="360"/>
      <c r="AY14" s="361"/>
      <c r="AZ14" s="209" t="s">
        <v>83</v>
      </c>
      <c r="BA14" s="209" t="s">
        <v>84</v>
      </c>
      <c r="BB14" s="209" t="s">
        <v>85</v>
      </c>
      <c r="BC14" s="122"/>
      <c r="BD14" s="83" t="s">
        <v>94</v>
      </c>
      <c r="BE14" s="122"/>
      <c r="BF14" s="122"/>
      <c r="BG14" s="122"/>
      <c r="BH14" s="311"/>
      <c r="BI14" s="308"/>
      <c r="BK14" s="122"/>
      <c r="BL14" s="360"/>
      <c r="BM14" s="361"/>
      <c r="BN14" s="209" t="s">
        <v>94</v>
      </c>
      <c r="BO14" s="122"/>
      <c r="BP14" s="122"/>
      <c r="BQ14" s="122"/>
      <c r="BR14" s="122"/>
      <c r="BS14" s="122"/>
      <c r="BT14" s="122"/>
      <c r="BV14" s="308"/>
      <c r="BW14" s="311"/>
    </row>
    <row r="15" spans="1:135" s="36" customFormat="1" x14ac:dyDescent="0.25">
      <c r="A15" s="308"/>
      <c r="B15" s="122"/>
      <c r="D15" s="356" t="s">
        <v>80</v>
      </c>
      <c r="E15" s="356"/>
      <c r="F15" s="91">
        <v>30</v>
      </c>
      <c r="G15" s="113" t="e">
        <f>G14+IF(Lähtötiedot!C9&lt;=2,Ruokinta!P24,IF(Lähtötiedot!C9&gt;2,Ruokinta!P26))</f>
        <v>#N/A</v>
      </c>
      <c r="H15" s="113" t="e">
        <f>F15*G15</f>
        <v>#N/A</v>
      </c>
      <c r="J15" s="115" t="e">
        <f>Lähtötiedot!$C$8*H15</f>
        <v>#N/A</v>
      </c>
      <c r="N15" s="43" t="s">
        <v>64</v>
      </c>
      <c r="O15" s="47" t="s">
        <v>65</v>
      </c>
      <c r="P15" s="106" t="s">
        <v>66</v>
      </c>
      <c r="Q15" s="105"/>
      <c r="R15" s="310"/>
      <c r="S15" s="313"/>
      <c r="T15" s="122"/>
      <c r="U15" s="97"/>
      <c r="V15" s="356" t="s">
        <v>67</v>
      </c>
      <c r="W15" s="356"/>
      <c r="X15" s="135" t="e">
        <f t="shared" ref="X15:X20" ca="1" si="0">$W$9*H14</f>
        <v>#N/A</v>
      </c>
      <c r="Y15" s="122"/>
      <c r="AE15" s="122"/>
      <c r="AF15" s="311"/>
      <c r="AG15" s="308"/>
      <c r="AH15" s="122"/>
      <c r="AJ15" s="356" t="s">
        <v>67</v>
      </c>
      <c r="AK15" s="356"/>
      <c r="AL15" s="91">
        <v>150</v>
      </c>
      <c r="AM15" s="113" t="e">
        <f>G14</f>
        <v>#N/A</v>
      </c>
      <c r="AN15" s="113" t="e">
        <f>AL15*AM15</f>
        <v>#N/A</v>
      </c>
      <c r="AO15" s="122"/>
      <c r="AP15" s="206" t="e">
        <f>Lähtötiedot!$C$8*AN15</f>
        <v>#N/A</v>
      </c>
      <c r="AQ15" s="122"/>
      <c r="AR15" s="122"/>
      <c r="AT15" s="308"/>
      <c r="AU15" s="311"/>
      <c r="AV15" s="122"/>
      <c r="AX15" s="356" t="s">
        <v>67</v>
      </c>
      <c r="AY15" s="356"/>
      <c r="AZ15" s="91">
        <v>150</v>
      </c>
      <c r="BA15" s="113" t="e">
        <f>G14</f>
        <v>#N/A</v>
      </c>
      <c r="BB15" s="113" t="e">
        <f>AZ15*BA15</f>
        <v>#N/A</v>
      </c>
      <c r="BC15" s="122"/>
      <c r="BD15" s="206" t="e">
        <f>$AY$7*BB15</f>
        <v>#N/A</v>
      </c>
      <c r="BE15" s="122"/>
      <c r="BF15" s="122"/>
      <c r="BG15" s="122"/>
      <c r="BH15" s="311"/>
      <c r="BI15" s="308"/>
      <c r="BK15" s="122"/>
      <c r="BL15" s="356" t="s">
        <v>67</v>
      </c>
      <c r="BM15" s="356"/>
      <c r="BN15" s="161" t="e">
        <f>$BM$7*AN15</f>
        <v>#N/A</v>
      </c>
      <c r="BO15" s="122"/>
      <c r="BP15" s="122"/>
      <c r="BQ15" s="122"/>
      <c r="BR15" s="122"/>
      <c r="BS15" s="122"/>
      <c r="BT15" s="122"/>
      <c r="BV15" s="308"/>
      <c r="BW15" s="311"/>
    </row>
    <row r="16" spans="1:135" s="36" customFormat="1" x14ac:dyDescent="0.25">
      <c r="A16" s="308"/>
      <c r="B16" s="122"/>
      <c r="D16" s="356" t="s">
        <v>81</v>
      </c>
      <c r="E16" s="356"/>
      <c r="F16" s="91">
        <v>14</v>
      </c>
      <c r="G16" s="113" t="e">
        <f>G14+IF(Lähtötiedot!C9&lt;=2,Ruokinta!P25,IF(Lähtötiedot!C9&gt;2,Ruokinta!P27))</f>
        <v>#N/A</v>
      </c>
      <c r="H16" s="113" t="e">
        <f>F16*G16</f>
        <v>#N/A</v>
      </c>
      <c r="J16" s="115" t="e">
        <f>Lähtötiedot!$C$8*H16</f>
        <v>#N/A</v>
      </c>
      <c r="N16" s="43" t="s">
        <v>67</v>
      </c>
      <c r="O16" s="44">
        <v>40</v>
      </c>
      <c r="P16" s="106">
        <v>6.3</v>
      </c>
      <c r="Q16" s="105"/>
      <c r="R16" s="310"/>
      <c r="S16" s="313"/>
      <c r="T16" s="122"/>
      <c r="U16" s="97"/>
      <c r="V16" s="356" t="s">
        <v>80</v>
      </c>
      <c r="W16" s="356"/>
      <c r="X16" s="135" t="e">
        <f t="shared" ca="1" si="0"/>
        <v>#N/A</v>
      </c>
      <c r="Y16" s="122"/>
      <c r="AE16" s="122"/>
      <c r="AF16" s="311"/>
      <c r="AG16" s="308"/>
      <c r="AH16" s="122"/>
      <c r="AJ16" s="356" t="s">
        <v>80</v>
      </c>
      <c r="AK16" s="356"/>
      <c r="AL16" s="91">
        <v>30</v>
      </c>
      <c r="AM16" s="113" t="e">
        <f>G15</f>
        <v>#N/A</v>
      </c>
      <c r="AN16" s="113" t="e">
        <f>AL16*AM16</f>
        <v>#N/A</v>
      </c>
      <c r="AO16" s="122"/>
      <c r="AP16" s="206" t="e">
        <f>Lähtötiedot!$C$8*AN16</f>
        <v>#N/A</v>
      </c>
      <c r="AQ16" s="122"/>
      <c r="AR16" s="122"/>
      <c r="AT16" s="308"/>
      <c r="AU16" s="311"/>
      <c r="AV16" s="122"/>
      <c r="AX16" s="356" t="s">
        <v>80</v>
      </c>
      <c r="AY16" s="356"/>
      <c r="AZ16" s="91">
        <v>30</v>
      </c>
      <c r="BA16" s="113" t="e">
        <f>G15</f>
        <v>#N/A</v>
      </c>
      <c r="BB16" s="113" t="e">
        <f>AZ16*BA16</f>
        <v>#N/A</v>
      </c>
      <c r="BC16" s="122"/>
      <c r="BD16" s="206" t="e">
        <f t="shared" ref="BD16:BD19" si="1">$AY$7*BB16</f>
        <v>#N/A</v>
      </c>
      <c r="BE16" s="122"/>
      <c r="BF16" s="122"/>
      <c r="BG16" s="122"/>
      <c r="BH16" s="311"/>
      <c r="BI16" s="308"/>
      <c r="BK16" s="122"/>
      <c r="BL16" s="356" t="s">
        <v>80</v>
      </c>
      <c r="BM16" s="356"/>
      <c r="BN16" s="172" t="e">
        <f t="shared" ref="BN16:BN19" si="2">$BM$7*AN16</f>
        <v>#N/A</v>
      </c>
      <c r="BO16" s="122"/>
      <c r="BP16" s="122"/>
      <c r="BQ16" s="122"/>
      <c r="BR16" s="122"/>
      <c r="BS16" s="122"/>
      <c r="BT16" s="122"/>
      <c r="BV16" s="308"/>
      <c r="BW16" s="311"/>
    </row>
    <row r="17" spans="1:75" s="36" customFormat="1" x14ac:dyDescent="0.25">
      <c r="A17" s="308"/>
      <c r="B17" s="122"/>
      <c r="D17" s="356" t="s">
        <v>82</v>
      </c>
      <c r="E17" s="356"/>
      <c r="F17" s="91">
        <v>50</v>
      </c>
      <c r="G17" s="113" t="e">
        <f>G14+IF(Lähtötiedot!C9&lt;2,Ruokinta!P29,IF(Lähtötiedot!C9&lt;3,Ruokinta!P30,IF(Lähtötiedot!C9&gt;3,Ruokinta!P31)))</f>
        <v>#N/A</v>
      </c>
      <c r="H17" s="113" t="e">
        <f>F17*G17</f>
        <v>#N/A</v>
      </c>
      <c r="J17" s="115" t="e">
        <f>Lähtötiedot!$C$8*H17</f>
        <v>#N/A</v>
      </c>
      <c r="N17" s="43"/>
      <c r="O17" s="44">
        <v>50</v>
      </c>
      <c r="P17" s="106">
        <v>7.4</v>
      </c>
      <c r="Q17" s="105"/>
      <c r="R17" s="310"/>
      <c r="S17" s="313"/>
      <c r="T17" s="122"/>
      <c r="U17" s="97"/>
      <c r="V17" s="356" t="s">
        <v>81</v>
      </c>
      <c r="W17" s="356"/>
      <c r="X17" s="135" t="e">
        <f t="shared" ca="1" si="0"/>
        <v>#N/A</v>
      </c>
      <c r="Y17" s="122"/>
      <c r="AE17" s="122"/>
      <c r="AF17" s="311"/>
      <c r="AG17" s="308"/>
      <c r="AH17" s="122"/>
      <c r="AJ17" s="356" t="s">
        <v>81</v>
      </c>
      <c r="AK17" s="356"/>
      <c r="AL17" s="91">
        <v>14</v>
      </c>
      <c r="AM17" s="113" t="e">
        <f>G16</f>
        <v>#N/A</v>
      </c>
      <c r="AN17" s="113" t="e">
        <f>AL17*AM17</f>
        <v>#N/A</v>
      </c>
      <c r="AO17" s="122"/>
      <c r="AP17" s="206" t="e">
        <f>Lähtötiedot!$C$8*AN17</f>
        <v>#N/A</v>
      </c>
      <c r="AQ17" s="122"/>
      <c r="AR17" s="122"/>
      <c r="AT17" s="308"/>
      <c r="AU17" s="311"/>
      <c r="AV17" s="122"/>
      <c r="AX17" s="356" t="s">
        <v>81</v>
      </c>
      <c r="AY17" s="356"/>
      <c r="AZ17" s="91">
        <v>14</v>
      </c>
      <c r="BA17" s="113" t="e">
        <f>G16</f>
        <v>#N/A</v>
      </c>
      <c r="BB17" s="113" t="e">
        <f>AZ17*BA17</f>
        <v>#N/A</v>
      </c>
      <c r="BC17" s="122"/>
      <c r="BD17" s="206" t="e">
        <f t="shared" si="1"/>
        <v>#N/A</v>
      </c>
      <c r="BE17" s="122"/>
      <c r="BF17" s="122"/>
      <c r="BG17" s="122"/>
      <c r="BH17" s="311"/>
      <c r="BI17" s="308"/>
      <c r="BK17" s="122"/>
      <c r="BL17" s="356" t="s">
        <v>81</v>
      </c>
      <c r="BM17" s="356"/>
      <c r="BN17" s="172" t="e">
        <f t="shared" si="2"/>
        <v>#N/A</v>
      </c>
      <c r="BO17" s="122"/>
      <c r="BP17" s="122"/>
      <c r="BQ17" s="122"/>
      <c r="BR17" s="122"/>
      <c r="BS17" s="122"/>
      <c r="BT17" s="122"/>
      <c r="BV17" s="308"/>
      <c r="BW17" s="311"/>
    </row>
    <row r="18" spans="1:75" s="36" customFormat="1" x14ac:dyDescent="0.25">
      <c r="A18" s="308"/>
      <c r="B18" s="122"/>
      <c r="D18" s="436" t="s">
        <v>86</v>
      </c>
      <c r="E18" s="436" t="b">
        <v>0</v>
      </c>
      <c r="F18" s="91">
        <f>IF($E$18=TRUE,35,0)</f>
        <v>0</v>
      </c>
      <c r="G18" s="113">
        <f>P33</f>
        <v>3.5</v>
      </c>
      <c r="H18" s="113">
        <f>F18*G18</f>
        <v>0</v>
      </c>
      <c r="J18" s="115">
        <f>Lähtötiedot!$C$8*H18</f>
        <v>0</v>
      </c>
      <c r="N18" s="43"/>
      <c r="O18" s="44">
        <v>60</v>
      </c>
      <c r="P18" s="106">
        <v>8.5</v>
      </c>
      <c r="Q18" s="105"/>
      <c r="R18" s="310"/>
      <c r="S18" s="313"/>
      <c r="T18" s="122"/>
      <c r="U18" s="97"/>
      <c r="V18" s="356" t="s">
        <v>82</v>
      </c>
      <c r="W18" s="356"/>
      <c r="X18" s="135" t="e">
        <f t="shared" ca="1" si="0"/>
        <v>#N/A</v>
      </c>
      <c r="Y18" s="122"/>
      <c r="AE18" s="122"/>
      <c r="AF18" s="311"/>
      <c r="AG18" s="308"/>
      <c r="AH18" s="122"/>
      <c r="AJ18" s="356" t="s">
        <v>82</v>
      </c>
      <c r="AK18" s="356"/>
      <c r="AL18" s="91">
        <v>50</v>
      </c>
      <c r="AM18" s="113" t="e">
        <f>G17</f>
        <v>#N/A</v>
      </c>
      <c r="AN18" s="113" t="e">
        <f>AL18*AM18</f>
        <v>#N/A</v>
      </c>
      <c r="AO18" s="122"/>
      <c r="AP18" s="206" t="e">
        <f>Lähtötiedot!$C$8*AN18</f>
        <v>#N/A</v>
      </c>
      <c r="AQ18" s="122"/>
      <c r="AR18" s="122"/>
      <c r="AT18" s="308"/>
      <c r="AU18" s="311"/>
      <c r="AV18" s="122"/>
      <c r="AX18" s="356" t="s">
        <v>82</v>
      </c>
      <c r="AY18" s="356"/>
      <c r="AZ18" s="91">
        <v>50</v>
      </c>
      <c r="BA18" s="113" t="e">
        <f>G17</f>
        <v>#N/A</v>
      </c>
      <c r="BB18" s="113" t="e">
        <f>AZ18*BA18</f>
        <v>#N/A</v>
      </c>
      <c r="BC18" s="122"/>
      <c r="BD18" s="206" t="e">
        <f t="shared" si="1"/>
        <v>#N/A</v>
      </c>
      <c r="BE18" s="122"/>
      <c r="BF18" s="122"/>
      <c r="BG18" s="122"/>
      <c r="BH18" s="311"/>
      <c r="BI18" s="308"/>
      <c r="BK18" s="122"/>
      <c r="BL18" s="356" t="s">
        <v>82</v>
      </c>
      <c r="BM18" s="356"/>
      <c r="BN18" s="172" t="e">
        <f t="shared" si="2"/>
        <v>#N/A</v>
      </c>
      <c r="BO18" s="122"/>
      <c r="BP18" s="122"/>
      <c r="BQ18" s="122"/>
      <c r="BR18" s="122"/>
      <c r="BS18" s="122"/>
      <c r="BT18" s="122"/>
      <c r="BV18" s="308"/>
      <c r="BW18" s="311"/>
    </row>
    <row r="19" spans="1:75" s="36" customFormat="1" ht="15" customHeight="1" x14ac:dyDescent="0.25">
      <c r="A19" s="308"/>
      <c r="B19" s="122"/>
      <c r="D19" s="358" t="s">
        <v>85</v>
      </c>
      <c r="E19" s="358"/>
      <c r="F19" s="100">
        <f>SUM(F14:F18)</f>
        <v>244</v>
      </c>
      <c r="G19" s="110"/>
      <c r="H19" s="111" t="e">
        <f>SUM(H14:H18)</f>
        <v>#N/A</v>
      </c>
      <c r="J19" s="111" t="e">
        <f>Lähtötiedot!$C$8*H19</f>
        <v>#N/A</v>
      </c>
      <c r="N19" s="43"/>
      <c r="O19" s="44">
        <v>70</v>
      </c>
      <c r="P19" s="106">
        <v>9.6</v>
      </c>
      <c r="Q19" s="105"/>
      <c r="R19" s="310"/>
      <c r="S19" s="313"/>
      <c r="T19" s="122"/>
      <c r="U19" s="97"/>
      <c r="V19" s="356" t="s">
        <v>86</v>
      </c>
      <c r="W19" s="356"/>
      <c r="X19" s="135" t="e">
        <f t="shared" ca="1" si="0"/>
        <v>#N/A</v>
      </c>
      <c r="Y19" s="122"/>
      <c r="AE19" s="122"/>
      <c r="AF19" s="311"/>
      <c r="AG19" s="308"/>
      <c r="AH19" s="122"/>
      <c r="AJ19" s="356" t="s">
        <v>86</v>
      </c>
      <c r="AK19" s="356"/>
      <c r="AL19" s="91">
        <v>35</v>
      </c>
      <c r="AM19" s="113">
        <f>G18</f>
        <v>3.5</v>
      </c>
      <c r="AN19" s="113">
        <f>AL19*AM19</f>
        <v>122.5</v>
      </c>
      <c r="AO19" s="122"/>
      <c r="AP19" s="206">
        <f>Lähtötiedot!$C$8*AN19</f>
        <v>0</v>
      </c>
      <c r="AQ19" s="122"/>
      <c r="AR19" s="122"/>
      <c r="AT19" s="308"/>
      <c r="AU19" s="311"/>
      <c r="AV19" s="122"/>
      <c r="AX19" s="356" t="s">
        <v>86</v>
      </c>
      <c r="AY19" s="356"/>
      <c r="AZ19" s="91">
        <v>35</v>
      </c>
      <c r="BA19" s="113">
        <f>G18</f>
        <v>3.5</v>
      </c>
      <c r="BB19" s="113">
        <f>AZ19*BA19</f>
        <v>122.5</v>
      </c>
      <c r="BC19" s="122"/>
      <c r="BD19" s="206">
        <f t="shared" si="1"/>
        <v>0</v>
      </c>
      <c r="BE19" s="122"/>
      <c r="BF19" s="122"/>
      <c r="BG19" s="122"/>
      <c r="BH19" s="311"/>
      <c r="BI19" s="308"/>
      <c r="BK19" s="122"/>
      <c r="BL19" s="356" t="s">
        <v>86</v>
      </c>
      <c r="BM19" s="356"/>
      <c r="BN19" s="172">
        <f t="shared" si="2"/>
        <v>0</v>
      </c>
      <c r="BO19" s="122"/>
      <c r="BP19" s="122"/>
      <c r="BQ19" s="122"/>
      <c r="BR19" s="122"/>
      <c r="BS19" s="122"/>
      <c r="BT19" s="122"/>
      <c r="BV19" s="308"/>
      <c r="BW19" s="311"/>
    </row>
    <row r="20" spans="1:75" s="36" customFormat="1" x14ac:dyDescent="0.25">
      <c r="A20" s="308"/>
      <c r="B20" s="122"/>
      <c r="N20" s="43"/>
      <c r="O20" s="44">
        <v>80</v>
      </c>
      <c r="P20" s="106">
        <v>10.6</v>
      </c>
      <c r="Q20" s="105"/>
      <c r="R20" s="310"/>
      <c r="S20" s="313"/>
      <c r="T20" s="122"/>
      <c r="U20" s="97"/>
      <c r="V20" s="358" t="s">
        <v>85</v>
      </c>
      <c r="W20" s="358"/>
      <c r="X20" s="111" t="e">
        <f t="shared" ca="1" si="0"/>
        <v>#N/A</v>
      </c>
      <c r="Y20" s="122"/>
      <c r="AE20" s="122"/>
      <c r="AF20" s="311"/>
      <c r="AG20" s="308"/>
      <c r="AH20" s="122"/>
      <c r="AJ20" s="358" t="s">
        <v>85</v>
      </c>
      <c r="AK20" s="358"/>
      <c r="AL20" s="100">
        <f>SUM(AL15:AL18)</f>
        <v>244</v>
      </c>
      <c r="AM20" s="110"/>
      <c r="AN20" s="138" t="e">
        <f>SUM(AN15:AN19)</f>
        <v>#N/A</v>
      </c>
      <c r="AO20" s="122"/>
      <c r="AP20" s="138" t="e">
        <f>Lähtötiedot!$C$8*AN20</f>
        <v>#N/A</v>
      </c>
      <c r="AQ20" s="122"/>
      <c r="AR20" s="122"/>
      <c r="AT20" s="308"/>
      <c r="AU20" s="311"/>
      <c r="AV20" s="122"/>
      <c r="AX20" s="358" t="s">
        <v>85</v>
      </c>
      <c r="AY20" s="358"/>
      <c r="AZ20" s="100">
        <f>SUM(AZ15:AZ18)</f>
        <v>244</v>
      </c>
      <c r="BA20" s="110"/>
      <c r="BB20" s="150" t="e">
        <f>SUM(BB15:BB19)</f>
        <v>#N/A</v>
      </c>
      <c r="BC20" s="122"/>
      <c r="BD20" s="150" t="e">
        <f>SUM(BD15:BD19)</f>
        <v>#N/A</v>
      </c>
      <c r="BE20" s="122"/>
      <c r="BF20" s="122"/>
      <c r="BG20" s="122"/>
      <c r="BH20" s="311"/>
      <c r="BI20" s="308"/>
      <c r="BK20" s="122"/>
      <c r="BL20" s="358" t="s">
        <v>85</v>
      </c>
      <c r="BM20" s="358"/>
      <c r="BN20" s="162" t="e">
        <f>SUM(BN15:BN19)</f>
        <v>#N/A</v>
      </c>
      <c r="BO20" s="122"/>
      <c r="BP20" s="122"/>
      <c r="BQ20" s="122"/>
      <c r="BR20" s="122"/>
      <c r="BS20" s="122"/>
      <c r="BT20" s="122"/>
      <c r="BV20" s="308"/>
      <c r="BW20" s="311"/>
    </row>
    <row r="21" spans="1:75" s="36" customFormat="1" ht="15" customHeight="1" x14ac:dyDescent="0.3">
      <c r="A21" s="308"/>
      <c r="B21" s="302"/>
      <c r="C21" s="362" t="s">
        <v>157</v>
      </c>
      <c r="D21" s="362"/>
      <c r="E21" s="362"/>
      <c r="F21" s="99"/>
      <c r="N21" s="43"/>
      <c r="O21" s="44">
        <v>90</v>
      </c>
      <c r="P21" s="106">
        <v>11.5</v>
      </c>
      <c r="Q21" s="105"/>
      <c r="R21" s="310"/>
      <c r="S21" s="313"/>
      <c r="T21" s="122"/>
      <c r="U21" s="97"/>
      <c r="V21" s="97"/>
      <c r="W21" s="97"/>
      <c r="X21" s="97"/>
      <c r="Y21" s="97"/>
      <c r="Z21" s="97"/>
      <c r="AA21" s="122"/>
      <c r="AB21" s="122"/>
      <c r="AC21" s="97"/>
      <c r="AD21" s="97"/>
      <c r="AE21" s="122"/>
      <c r="AF21" s="311"/>
      <c r="AG21" s="308"/>
      <c r="AH21" s="122"/>
      <c r="AJ21" s="122"/>
      <c r="AK21" s="122"/>
      <c r="AL21" s="122"/>
      <c r="AM21" s="122"/>
      <c r="AN21" s="122"/>
      <c r="AO21" s="122"/>
      <c r="AP21" s="122"/>
      <c r="AQ21" s="122"/>
      <c r="AR21" s="122"/>
      <c r="AT21" s="308"/>
      <c r="AU21" s="311"/>
      <c r="AV21" s="122"/>
      <c r="AX21" s="122"/>
      <c r="AY21" s="122"/>
      <c r="AZ21" s="122"/>
      <c r="BA21" s="122"/>
      <c r="BB21" s="122"/>
      <c r="BC21" s="122"/>
      <c r="BD21" s="122"/>
      <c r="BE21" s="122"/>
      <c r="BF21" s="122"/>
      <c r="BG21" s="122"/>
      <c r="BH21" s="311"/>
      <c r="BI21" s="308"/>
      <c r="BK21" s="122"/>
      <c r="BL21" s="122"/>
      <c r="BM21" s="122"/>
      <c r="BN21" s="122"/>
      <c r="BO21" s="122"/>
      <c r="BP21" s="122"/>
      <c r="BQ21" s="122"/>
      <c r="BR21" s="122"/>
      <c r="BS21" s="122"/>
      <c r="BT21" s="122"/>
      <c r="BV21" s="308"/>
      <c r="BW21" s="311"/>
    </row>
    <row r="22" spans="1:75" s="37" customFormat="1" ht="18.75" x14ac:dyDescent="0.3">
      <c r="A22" s="308"/>
      <c r="B22" s="122"/>
      <c r="D22" s="360"/>
      <c r="E22" s="361"/>
      <c r="F22" s="89" t="s">
        <v>83</v>
      </c>
      <c r="G22" s="89" t="s">
        <v>84</v>
      </c>
      <c r="H22" s="89" t="s">
        <v>85</v>
      </c>
      <c r="I22" s="122"/>
      <c r="J22" s="83" t="s">
        <v>94</v>
      </c>
      <c r="L22" s="301"/>
      <c r="N22" s="43"/>
      <c r="O22" s="44">
        <v>100</v>
      </c>
      <c r="P22" s="106">
        <v>12.5</v>
      </c>
      <c r="Q22" s="105"/>
      <c r="R22" s="310"/>
      <c r="S22" s="313"/>
      <c r="T22" s="130"/>
      <c r="U22" s="130" t="s">
        <v>184</v>
      </c>
      <c r="W22" s="99"/>
      <c r="X22" s="122"/>
      <c r="Y22" s="97"/>
      <c r="Z22" s="97"/>
      <c r="AE22" s="122"/>
      <c r="AF22" s="311"/>
      <c r="AG22" s="308"/>
      <c r="AH22" s="302"/>
      <c r="AI22" s="302" t="s">
        <v>157</v>
      </c>
      <c r="AJ22" s="151"/>
      <c r="AK22" s="151"/>
      <c r="AT22" s="308"/>
      <c r="AU22" s="311"/>
      <c r="AV22" s="122"/>
      <c r="AX22" s="362" t="s">
        <v>157</v>
      </c>
      <c r="AY22" s="362"/>
      <c r="AZ22" s="362"/>
      <c r="BA22" s="122"/>
      <c r="BB22" s="122"/>
      <c r="BC22" s="122"/>
      <c r="BD22" s="122"/>
      <c r="BE22" s="122"/>
      <c r="BF22" s="122"/>
      <c r="BG22" s="122"/>
      <c r="BH22" s="311"/>
      <c r="BI22" s="308"/>
      <c r="BK22" s="130" t="s">
        <v>184</v>
      </c>
      <c r="BL22" s="122"/>
      <c r="BM22" s="99"/>
      <c r="BN22" s="122"/>
      <c r="BO22" s="122"/>
      <c r="BP22" s="122"/>
      <c r="BQ22" s="122"/>
      <c r="BR22" s="122"/>
      <c r="BS22" s="122"/>
      <c r="BT22" s="122"/>
      <c r="BV22" s="308"/>
      <c r="BW22" s="311"/>
    </row>
    <row r="23" spans="1:75" s="36" customFormat="1" ht="33" customHeight="1" x14ac:dyDescent="0.25">
      <c r="A23" s="308"/>
      <c r="B23" s="122"/>
      <c r="D23" s="356" t="s">
        <v>67</v>
      </c>
      <c r="E23" s="356"/>
      <c r="F23" s="91">
        <f>150+121</f>
        <v>271</v>
      </c>
      <c r="G23" s="113" t="e">
        <f>G14</f>
        <v>#N/A</v>
      </c>
      <c r="H23" s="113" t="e">
        <f>F23*G23</f>
        <v>#N/A</v>
      </c>
      <c r="I23" s="122"/>
      <c r="J23" s="115" t="e">
        <f>Lähtötiedot!$C$8*H23</f>
        <v>#N/A</v>
      </c>
      <c r="N23" s="43" t="s">
        <v>68</v>
      </c>
      <c r="O23" s="44"/>
      <c r="P23" s="106"/>
      <c r="Q23" s="105"/>
      <c r="R23" s="310"/>
      <c r="S23" s="313"/>
      <c r="T23" s="122"/>
      <c r="U23" s="122"/>
      <c r="V23" s="355"/>
      <c r="W23" s="355"/>
      <c r="X23" s="355"/>
      <c r="Y23" s="356" t="s">
        <v>94</v>
      </c>
      <c r="Z23" s="356"/>
      <c r="AE23" s="122"/>
      <c r="AF23" s="311"/>
      <c r="AG23" s="308"/>
      <c r="AH23" s="122"/>
      <c r="AJ23" s="360"/>
      <c r="AK23" s="361"/>
      <c r="AL23" s="209" t="s">
        <v>83</v>
      </c>
      <c r="AM23" s="209" t="s">
        <v>84</v>
      </c>
      <c r="AN23" s="209" t="s">
        <v>85</v>
      </c>
      <c r="AO23" s="122"/>
      <c r="AP23" s="83" t="s">
        <v>94</v>
      </c>
      <c r="AT23" s="308"/>
      <c r="AU23" s="311"/>
      <c r="AV23" s="122"/>
      <c r="AX23" s="360"/>
      <c r="AY23" s="361"/>
      <c r="AZ23" s="209" t="s">
        <v>83</v>
      </c>
      <c r="BA23" s="209" t="s">
        <v>84</v>
      </c>
      <c r="BB23" s="209" t="s">
        <v>85</v>
      </c>
      <c r="BC23" s="122"/>
      <c r="BD23" s="83" t="s">
        <v>94</v>
      </c>
      <c r="BE23" s="122"/>
      <c r="BF23" s="122"/>
      <c r="BG23" s="122"/>
      <c r="BH23" s="311"/>
      <c r="BI23" s="308"/>
      <c r="BK23" s="122"/>
      <c r="BL23" s="355"/>
      <c r="BM23" s="355"/>
      <c r="BN23" s="355"/>
      <c r="BO23" s="356" t="s">
        <v>94</v>
      </c>
      <c r="BP23" s="356"/>
      <c r="BQ23" s="122"/>
      <c r="BR23" s="122"/>
      <c r="BS23" s="122"/>
      <c r="BT23" s="122"/>
      <c r="BV23" s="308"/>
      <c r="BW23" s="311"/>
    </row>
    <row r="24" spans="1:75" s="36" customFormat="1" ht="15" customHeight="1" x14ac:dyDescent="0.25">
      <c r="A24" s="308"/>
      <c r="B24" s="122"/>
      <c r="D24" s="356" t="s">
        <v>80</v>
      </c>
      <c r="E24" s="356"/>
      <c r="F24" s="91">
        <v>30</v>
      </c>
      <c r="G24" s="113" t="e">
        <f t="shared" ref="G24:G27" si="3">G15</f>
        <v>#N/A</v>
      </c>
      <c r="H24" s="113" t="e">
        <f>F24*G24</f>
        <v>#N/A</v>
      </c>
      <c r="I24" s="122"/>
      <c r="J24" s="115" t="e">
        <f>Lähtötiedot!$C$8*H24</f>
        <v>#N/A</v>
      </c>
      <c r="N24" s="43" t="s">
        <v>69</v>
      </c>
      <c r="O24" s="47" t="s">
        <v>78</v>
      </c>
      <c r="P24" s="106">
        <v>4</v>
      </c>
      <c r="Q24" s="105"/>
      <c r="R24" s="310"/>
      <c r="S24" s="313"/>
      <c r="T24" s="122"/>
      <c r="U24" s="122"/>
      <c r="V24" s="356" t="s">
        <v>67</v>
      </c>
      <c r="W24" s="356"/>
      <c r="X24" s="356"/>
      <c r="Y24" s="357" t="e">
        <f t="shared" ref="Y24:Y29" ca="1" si="4">$W$9*H23</f>
        <v>#N/A</v>
      </c>
      <c r="Z24" s="357"/>
      <c r="AE24" s="122"/>
      <c r="AF24" s="311"/>
      <c r="AG24" s="308"/>
      <c r="AH24" s="122"/>
      <c r="AJ24" s="356" t="s">
        <v>67</v>
      </c>
      <c r="AK24" s="356"/>
      <c r="AL24" s="91">
        <v>150</v>
      </c>
      <c r="AM24" s="113" t="e">
        <f>AM15</f>
        <v>#N/A</v>
      </c>
      <c r="AN24" s="137" t="e">
        <f>AL24*AM24*3/2</f>
        <v>#N/A</v>
      </c>
      <c r="AO24" s="122"/>
      <c r="AP24" s="115" t="e">
        <f ca="1">Lähtötiedot!$K$8*AN24</f>
        <v>#N/A</v>
      </c>
      <c r="AT24" s="308"/>
      <c r="AU24" s="311"/>
      <c r="AV24" s="122"/>
      <c r="AX24" s="356" t="s">
        <v>67</v>
      </c>
      <c r="AY24" s="356"/>
      <c r="AZ24" s="91">
        <v>150</v>
      </c>
      <c r="BA24" s="113" t="e">
        <f>BA15</f>
        <v>#N/A</v>
      </c>
      <c r="BB24" s="149" t="e">
        <f>AZ24*BA24*3/2</f>
        <v>#N/A</v>
      </c>
      <c r="BC24" s="122"/>
      <c r="BD24" s="115" t="e">
        <f>$AY$7*BB24</f>
        <v>#N/A</v>
      </c>
      <c r="BE24" s="122"/>
      <c r="BF24" s="122"/>
      <c r="BG24" s="122"/>
      <c r="BH24" s="311"/>
      <c r="BI24" s="308"/>
      <c r="BK24" s="122"/>
      <c r="BL24" s="356" t="s">
        <v>67</v>
      </c>
      <c r="BM24" s="356"/>
      <c r="BN24" s="356"/>
      <c r="BO24" s="357" t="e">
        <f>$BM$7*AN24</f>
        <v>#N/A</v>
      </c>
      <c r="BP24" s="357"/>
      <c r="BQ24" s="122"/>
      <c r="BR24" s="122"/>
      <c r="BS24" s="122"/>
      <c r="BT24" s="122"/>
      <c r="BV24" s="308"/>
      <c r="BW24" s="311"/>
    </row>
    <row r="25" spans="1:75" s="36" customFormat="1" x14ac:dyDescent="0.25">
      <c r="A25" s="308"/>
      <c r="B25" s="122"/>
      <c r="D25" s="356" t="s">
        <v>81</v>
      </c>
      <c r="E25" s="356"/>
      <c r="F25" s="91">
        <v>14</v>
      </c>
      <c r="G25" s="113" t="e">
        <f t="shared" si="3"/>
        <v>#N/A</v>
      </c>
      <c r="H25" s="113" t="e">
        <f>F25*G25</f>
        <v>#N/A</v>
      </c>
      <c r="I25" s="122"/>
      <c r="J25" s="115" t="e">
        <f>Lähtötiedot!$C$8*H25</f>
        <v>#N/A</v>
      </c>
      <c r="N25" s="43"/>
      <c r="O25" s="44" t="s">
        <v>70</v>
      </c>
      <c r="P25" s="106">
        <v>8</v>
      </c>
      <c r="Q25" s="105"/>
      <c r="R25" s="310"/>
      <c r="S25" s="313"/>
      <c r="T25" s="122"/>
      <c r="U25" s="122"/>
      <c r="V25" s="356" t="s">
        <v>80</v>
      </c>
      <c r="W25" s="356"/>
      <c r="X25" s="356"/>
      <c r="Y25" s="357" t="e">
        <f t="shared" ca="1" si="4"/>
        <v>#N/A</v>
      </c>
      <c r="Z25" s="357"/>
      <c r="AE25" s="122"/>
      <c r="AF25" s="311"/>
      <c r="AG25" s="308"/>
      <c r="AH25" s="122"/>
      <c r="AJ25" s="356" t="s">
        <v>80</v>
      </c>
      <c r="AK25" s="356"/>
      <c r="AL25" s="91">
        <v>30</v>
      </c>
      <c r="AM25" s="113" t="e">
        <f t="shared" ref="AM25:AM28" si="5">AM16</f>
        <v>#N/A</v>
      </c>
      <c r="AN25" s="137" t="e">
        <f t="shared" ref="AN25:AN28" si="6">AL25*AM25*3/2</f>
        <v>#N/A</v>
      </c>
      <c r="AO25" s="122"/>
      <c r="AP25" s="115" t="e">
        <f ca="1">Lähtötiedot!$K$8*AN25</f>
        <v>#N/A</v>
      </c>
      <c r="AT25" s="308"/>
      <c r="AU25" s="311"/>
      <c r="AV25" s="122"/>
      <c r="AX25" s="356" t="s">
        <v>80</v>
      </c>
      <c r="AY25" s="356"/>
      <c r="AZ25" s="91">
        <v>30</v>
      </c>
      <c r="BA25" s="113" t="e">
        <f t="shared" ref="BA25:BA28" si="7">BA16</f>
        <v>#N/A</v>
      </c>
      <c r="BB25" s="149" t="e">
        <f t="shared" ref="BB25:BB28" si="8">AZ25*BA25*3/2</f>
        <v>#N/A</v>
      </c>
      <c r="BC25" s="122"/>
      <c r="BD25" s="115" t="e">
        <f t="shared" ref="BD25:BD28" si="9">$AY$7*BB25</f>
        <v>#N/A</v>
      </c>
      <c r="BE25" s="122"/>
      <c r="BF25" s="122"/>
      <c r="BG25" s="122"/>
      <c r="BH25" s="311"/>
      <c r="BI25" s="308"/>
      <c r="BK25" s="122"/>
      <c r="BL25" s="356" t="s">
        <v>80</v>
      </c>
      <c r="BM25" s="356"/>
      <c r="BN25" s="356"/>
      <c r="BO25" s="357" t="e">
        <f t="shared" ref="BO25:BO28" si="10">$BM$7*AN25</f>
        <v>#N/A</v>
      </c>
      <c r="BP25" s="357"/>
      <c r="BQ25" s="122"/>
      <c r="BR25" s="122"/>
      <c r="BS25" s="122"/>
      <c r="BT25" s="122"/>
      <c r="BV25" s="308"/>
      <c r="BW25" s="311"/>
    </row>
    <row r="26" spans="1:75" s="36" customFormat="1" ht="15" customHeight="1" x14ac:dyDescent="0.25">
      <c r="A26" s="308"/>
      <c r="B26" s="122"/>
      <c r="D26" s="356" t="s">
        <v>82</v>
      </c>
      <c r="E26" s="356"/>
      <c r="F26" s="91">
        <v>50</v>
      </c>
      <c r="G26" s="113" t="e">
        <f t="shared" si="3"/>
        <v>#N/A</v>
      </c>
      <c r="H26" s="113" t="e">
        <f>F26*G26</f>
        <v>#N/A</v>
      </c>
      <c r="I26" s="122"/>
      <c r="J26" s="115" t="e">
        <f>Lähtötiedot!$C$8*H26</f>
        <v>#N/A</v>
      </c>
      <c r="N26" s="43" t="s">
        <v>71</v>
      </c>
      <c r="O26" s="47" t="s">
        <v>79</v>
      </c>
      <c r="P26" s="106">
        <v>5</v>
      </c>
      <c r="Q26" s="105"/>
      <c r="R26" s="310"/>
      <c r="S26" s="313"/>
      <c r="T26" s="122"/>
      <c r="U26" s="122"/>
      <c r="V26" s="356" t="s">
        <v>81</v>
      </c>
      <c r="W26" s="356"/>
      <c r="X26" s="356"/>
      <c r="Y26" s="357" t="e">
        <f t="shared" ca="1" si="4"/>
        <v>#N/A</v>
      </c>
      <c r="Z26" s="357"/>
      <c r="AE26" s="122"/>
      <c r="AF26" s="311"/>
      <c r="AG26" s="308"/>
      <c r="AH26" s="122"/>
      <c r="AJ26" s="356" t="s">
        <v>81</v>
      </c>
      <c r="AK26" s="356"/>
      <c r="AL26" s="91">
        <v>14</v>
      </c>
      <c r="AM26" s="113" t="e">
        <f t="shared" si="5"/>
        <v>#N/A</v>
      </c>
      <c r="AN26" s="137" t="e">
        <f t="shared" si="6"/>
        <v>#N/A</v>
      </c>
      <c r="AO26" s="122"/>
      <c r="AP26" s="115" t="e">
        <f ca="1">Lähtötiedot!$K$8*AN26</f>
        <v>#N/A</v>
      </c>
      <c r="AT26" s="308"/>
      <c r="AU26" s="311"/>
      <c r="AV26" s="122"/>
      <c r="AW26" s="37"/>
      <c r="AX26" s="356" t="s">
        <v>81</v>
      </c>
      <c r="AY26" s="356"/>
      <c r="AZ26" s="91">
        <v>14</v>
      </c>
      <c r="BA26" s="113" t="e">
        <f t="shared" si="7"/>
        <v>#N/A</v>
      </c>
      <c r="BB26" s="149" t="e">
        <f t="shared" si="8"/>
        <v>#N/A</v>
      </c>
      <c r="BC26" s="122"/>
      <c r="BD26" s="115" t="e">
        <f t="shared" si="9"/>
        <v>#N/A</v>
      </c>
      <c r="BE26" s="122"/>
      <c r="BF26" s="122"/>
      <c r="BG26" s="122"/>
      <c r="BH26" s="311"/>
      <c r="BI26" s="308"/>
      <c r="BK26" s="122"/>
      <c r="BL26" s="356" t="s">
        <v>81</v>
      </c>
      <c r="BM26" s="356"/>
      <c r="BN26" s="356"/>
      <c r="BO26" s="357" t="e">
        <f t="shared" si="10"/>
        <v>#N/A</v>
      </c>
      <c r="BP26" s="357"/>
      <c r="BQ26" s="122"/>
      <c r="BR26" s="122"/>
      <c r="BS26" s="122"/>
      <c r="BT26" s="122"/>
      <c r="BV26" s="308"/>
      <c r="BW26" s="311"/>
    </row>
    <row r="27" spans="1:75" s="36" customFormat="1" ht="15" customHeight="1" x14ac:dyDescent="0.25">
      <c r="A27" s="308"/>
      <c r="B27" s="122"/>
      <c r="D27" s="356" t="s">
        <v>86</v>
      </c>
      <c r="E27" s="356"/>
      <c r="F27" s="91">
        <f>IF($E$18=TRUE,35,0)</f>
        <v>0</v>
      </c>
      <c r="G27" s="113">
        <f t="shared" si="3"/>
        <v>3.5</v>
      </c>
      <c r="H27" s="113">
        <f>F27*G27</f>
        <v>0</v>
      </c>
      <c r="I27" s="122"/>
      <c r="J27" s="115">
        <f>Lähtötiedot!$C$8*H27</f>
        <v>0</v>
      </c>
      <c r="N27" s="43"/>
      <c r="O27" s="44" t="s">
        <v>70</v>
      </c>
      <c r="P27" s="106">
        <v>11</v>
      </c>
      <c r="Q27" s="105"/>
      <c r="R27" s="310"/>
      <c r="S27" s="313"/>
      <c r="T27" s="122"/>
      <c r="V27" s="356" t="s">
        <v>82</v>
      </c>
      <c r="W27" s="356"/>
      <c r="X27" s="356"/>
      <c r="Y27" s="357" t="e">
        <f t="shared" ca="1" si="4"/>
        <v>#N/A</v>
      </c>
      <c r="Z27" s="357"/>
      <c r="AD27" s="97"/>
      <c r="AE27" s="122"/>
      <c r="AF27" s="311"/>
      <c r="AG27" s="308"/>
      <c r="AH27" s="122"/>
      <c r="AJ27" s="356" t="s">
        <v>82</v>
      </c>
      <c r="AK27" s="356"/>
      <c r="AL27" s="91">
        <v>50</v>
      </c>
      <c r="AM27" s="113" t="e">
        <f t="shared" si="5"/>
        <v>#N/A</v>
      </c>
      <c r="AN27" s="137" t="e">
        <f t="shared" si="6"/>
        <v>#N/A</v>
      </c>
      <c r="AO27" s="122"/>
      <c r="AP27" s="115" t="e">
        <f ca="1">Lähtötiedot!$K$8*AN27</f>
        <v>#N/A</v>
      </c>
      <c r="AT27" s="308"/>
      <c r="AU27" s="311"/>
      <c r="AV27" s="122"/>
      <c r="AX27" s="356" t="s">
        <v>82</v>
      </c>
      <c r="AY27" s="356"/>
      <c r="AZ27" s="91">
        <v>50</v>
      </c>
      <c r="BA27" s="113" t="e">
        <f t="shared" si="7"/>
        <v>#N/A</v>
      </c>
      <c r="BB27" s="149" t="e">
        <f t="shared" si="8"/>
        <v>#N/A</v>
      </c>
      <c r="BC27" s="122"/>
      <c r="BD27" s="115" t="e">
        <f t="shared" si="9"/>
        <v>#N/A</v>
      </c>
      <c r="BE27" s="122"/>
      <c r="BF27" s="122"/>
      <c r="BG27" s="122"/>
      <c r="BH27" s="311"/>
      <c r="BI27" s="308"/>
      <c r="BK27" s="122"/>
      <c r="BL27" s="356" t="s">
        <v>82</v>
      </c>
      <c r="BM27" s="356"/>
      <c r="BN27" s="356"/>
      <c r="BO27" s="357" t="e">
        <f t="shared" si="10"/>
        <v>#N/A</v>
      </c>
      <c r="BP27" s="357"/>
      <c r="BQ27" s="122"/>
      <c r="BR27" s="122"/>
      <c r="BS27" s="122"/>
      <c r="BT27" s="122"/>
      <c r="BV27" s="308"/>
      <c r="BW27" s="311"/>
    </row>
    <row r="28" spans="1:75" s="36" customFormat="1" ht="15" customHeight="1" x14ac:dyDescent="0.25">
      <c r="A28" s="308"/>
      <c r="B28" s="122"/>
      <c r="D28" s="358" t="s">
        <v>85</v>
      </c>
      <c r="E28" s="358"/>
      <c r="F28" s="100">
        <f>SUM(F23:F26)</f>
        <v>365</v>
      </c>
      <c r="G28" s="110"/>
      <c r="H28" s="111" t="e">
        <f>SUM(H23:H27)</f>
        <v>#N/A</v>
      </c>
      <c r="I28" s="122"/>
      <c r="J28" s="111" t="e">
        <f>Lähtötiedot!$C$8*H28</f>
        <v>#N/A</v>
      </c>
      <c r="N28" s="43" t="s">
        <v>72</v>
      </c>
      <c r="O28" s="44"/>
      <c r="P28" s="106"/>
      <c r="Q28" s="105"/>
      <c r="R28" s="310"/>
      <c r="S28" s="313"/>
      <c r="T28" s="122"/>
      <c r="U28" s="122"/>
      <c r="V28" s="356" t="s">
        <v>86</v>
      </c>
      <c r="W28" s="356"/>
      <c r="X28" s="356"/>
      <c r="Y28" s="357" t="e">
        <f t="shared" ca="1" si="4"/>
        <v>#N/A</v>
      </c>
      <c r="Z28" s="357"/>
      <c r="AD28" s="97"/>
      <c r="AE28" s="122"/>
      <c r="AF28" s="311"/>
      <c r="AG28" s="308"/>
      <c r="AH28" s="122"/>
      <c r="AJ28" s="356" t="s">
        <v>86</v>
      </c>
      <c r="AK28" s="356"/>
      <c r="AL28" s="91">
        <v>35</v>
      </c>
      <c r="AM28" s="113">
        <f t="shared" si="5"/>
        <v>3.5</v>
      </c>
      <c r="AN28" s="137">
        <f t="shared" si="6"/>
        <v>183.75</v>
      </c>
      <c r="AO28" s="122"/>
      <c r="AP28" s="115" t="e">
        <f ca="1">Lähtötiedot!$K$8*AN28</f>
        <v>#N/A</v>
      </c>
      <c r="AT28" s="308"/>
      <c r="AU28" s="311"/>
      <c r="AV28" s="122"/>
      <c r="AX28" s="356" t="s">
        <v>86</v>
      </c>
      <c r="AY28" s="356"/>
      <c r="AZ28" s="91">
        <v>35</v>
      </c>
      <c r="BA28" s="113">
        <f t="shared" si="7"/>
        <v>3.5</v>
      </c>
      <c r="BB28" s="149">
        <f t="shared" si="8"/>
        <v>183.75</v>
      </c>
      <c r="BC28" s="122"/>
      <c r="BD28" s="115">
        <f t="shared" si="9"/>
        <v>0</v>
      </c>
      <c r="BE28" s="122"/>
      <c r="BF28" s="122"/>
      <c r="BG28" s="122"/>
      <c r="BH28" s="311"/>
      <c r="BI28" s="308"/>
      <c r="BK28" s="122"/>
      <c r="BL28" s="356" t="s">
        <v>86</v>
      </c>
      <c r="BM28" s="356"/>
      <c r="BN28" s="356"/>
      <c r="BO28" s="357">
        <f t="shared" si="10"/>
        <v>0</v>
      </c>
      <c r="BP28" s="357"/>
      <c r="BQ28" s="122"/>
      <c r="BR28" s="122"/>
      <c r="BS28" s="122"/>
      <c r="BT28" s="122"/>
      <c r="BV28" s="308"/>
      <c r="BW28" s="311"/>
    </row>
    <row r="29" spans="1:75" s="36" customFormat="1" ht="15" customHeight="1" x14ac:dyDescent="0.25">
      <c r="A29" s="308"/>
      <c r="B29" s="122"/>
      <c r="N29" s="43" t="s">
        <v>73</v>
      </c>
      <c r="O29" s="44"/>
      <c r="P29" s="106">
        <v>12</v>
      </c>
      <c r="Q29" s="105"/>
      <c r="R29" s="310"/>
      <c r="S29" s="313"/>
      <c r="T29" s="122"/>
      <c r="U29" s="122"/>
      <c r="V29" s="358" t="s">
        <v>85</v>
      </c>
      <c r="W29" s="358"/>
      <c r="X29" s="358"/>
      <c r="Y29" s="359" t="e">
        <f t="shared" ca="1" si="4"/>
        <v>#N/A</v>
      </c>
      <c r="Z29" s="359"/>
      <c r="AD29" s="97"/>
      <c r="AE29" s="122"/>
      <c r="AF29" s="311"/>
      <c r="AG29" s="308"/>
      <c r="AH29" s="122"/>
      <c r="AJ29" s="358" t="s">
        <v>85</v>
      </c>
      <c r="AK29" s="358"/>
      <c r="AL29" s="100">
        <f>SUM(AL24:AL27)</f>
        <v>244</v>
      </c>
      <c r="AM29" s="110"/>
      <c r="AN29" s="138" t="e">
        <f>SUM(AN24:AN28)</f>
        <v>#N/A</v>
      </c>
      <c r="AO29" s="122"/>
      <c r="AP29" s="138" t="e">
        <f ca="1">SUM(AP24:AP28)</f>
        <v>#N/A</v>
      </c>
      <c r="AT29" s="308"/>
      <c r="AU29" s="311"/>
      <c r="AV29" s="122"/>
      <c r="AX29" s="358" t="s">
        <v>85</v>
      </c>
      <c r="AY29" s="358"/>
      <c r="AZ29" s="100">
        <f>SUM(AZ24:AZ27)</f>
        <v>244</v>
      </c>
      <c r="BA29" s="110"/>
      <c r="BB29" s="150" t="e">
        <f>SUM(BB24:BB28)</f>
        <v>#N/A</v>
      </c>
      <c r="BC29" s="122"/>
      <c r="BD29" s="150" t="e">
        <f>SUM(BD24:BD28)</f>
        <v>#N/A</v>
      </c>
      <c r="BE29" s="122"/>
      <c r="BF29" s="122"/>
      <c r="BG29" s="122"/>
      <c r="BH29" s="311"/>
      <c r="BI29" s="308"/>
      <c r="BK29" s="122"/>
      <c r="BL29" s="358" t="s">
        <v>85</v>
      </c>
      <c r="BM29" s="358"/>
      <c r="BN29" s="358"/>
      <c r="BO29" s="359" t="e">
        <f>SUM(BO24:BP28)</f>
        <v>#N/A</v>
      </c>
      <c r="BP29" s="359"/>
      <c r="BQ29" s="122"/>
      <c r="BR29" s="122"/>
      <c r="BS29" s="122"/>
      <c r="BT29" s="122"/>
      <c r="BV29" s="308"/>
      <c r="BW29" s="311"/>
    </row>
    <row r="30" spans="1:75" s="36" customFormat="1" ht="15" customHeight="1" x14ac:dyDescent="0.3">
      <c r="A30" s="308"/>
      <c r="B30" s="299"/>
      <c r="C30" s="299" t="s">
        <v>161</v>
      </c>
      <c r="D30" s="122"/>
      <c r="E30" s="122"/>
      <c r="F30" s="122"/>
      <c r="G30" s="122"/>
      <c r="H30" s="122"/>
      <c r="I30" s="122"/>
      <c r="J30" s="122"/>
      <c r="N30" s="43" t="s">
        <v>74</v>
      </c>
      <c r="O30" s="44"/>
      <c r="P30" s="106">
        <v>19</v>
      </c>
      <c r="Q30" s="105"/>
      <c r="R30" s="310"/>
      <c r="S30" s="313"/>
      <c r="T30" s="122"/>
      <c r="U30" s="122"/>
      <c r="AD30" s="97"/>
      <c r="AE30" s="122"/>
      <c r="AF30" s="311"/>
      <c r="AG30" s="308"/>
      <c r="AH30" s="122"/>
      <c r="AT30" s="308"/>
      <c r="AU30" s="311"/>
      <c r="AV30" s="122"/>
      <c r="AX30" s="122"/>
      <c r="AY30" s="122"/>
      <c r="AZ30" s="122"/>
      <c r="BA30" s="122"/>
      <c r="BB30" s="122"/>
      <c r="BC30" s="122"/>
      <c r="BD30" s="122"/>
      <c r="BE30" s="122"/>
      <c r="BF30" s="122"/>
      <c r="BG30" s="122"/>
      <c r="BH30" s="311"/>
      <c r="BI30" s="308"/>
      <c r="BK30" s="122"/>
      <c r="BL30" s="122"/>
      <c r="BM30" s="122"/>
      <c r="BN30" s="122"/>
      <c r="BO30" s="122"/>
      <c r="BP30" s="122"/>
      <c r="BQ30" s="122"/>
      <c r="BR30" s="122"/>
      <c r="BS30" s="122"/>
      <c r="BT30" s="122"/>
      <c r="BV30" s="308"/>
      <c r="BW30" s="311"/>
    </row>
    <row r="31" spans="1:75" ht="30" customHeight="1" x14ac:dyDescent="0.3">
      <c r="C31" s="122"/>
      <c r="D31" s="89" t="s">
        <v>90</v>
      </c>
      <c r="E31" s="187" t="s">
        <v>264</v>
      </c>
      <c r="F31" s="188" t="s">
        <v>92</v>
      </c>
      <c r="G31" s="89" t="s">
        <v>84</v>
      </c>
      <c r="H31" s="187" t="s">
        <v>93</v>
      </c>
      <c r="I31" s="122"/>
      <c r="J31" s="186" t="s">
        <v>95</v>
      </c>
      <c r="N31" s="43" t="s">
        <v>75</v>
      </c>
      <c r="O31" s="44"/>
      <c r="P31" s="106">
        <v>22</v>
      </c>
      <c r="Q31" s="105"/>
      <c r="R31" s="310"/>
      <c r="S31" s="313"/>
      <c r="T31" s="300"/>
      <c r="U31" s="300" t="s">
        <v>169</v>
      </c>
      <c r="W31" s="122"/>
      <c r="X31" s="122"/>
      <c r="Y31" s="122"/>
      <c r="Z31" s="122"/>
      <c r="AA31" s="122"/>
      <c r="AB31" s="122"/>
      <c r="AC31" s="37"/>
      <c r="AD31" s="97"/>
      <c r="AH31" s="300"/>
      <c r="AI31" s="300" t="s">
        <v>169</v>
      </c>
      <c r="AK31" s="122"/>
      <c r="AL31" s="122"/>
      <c r="AM31" s="122"/>
      <c r="AN31" s="122"/>
      <c r="AO31" s="122"/>
      <c r="AP31" s="122"/>
      <c r="AX31" s="300" t="s">
        <v>169</v>
      </c>
      <c r="AY31" s="122"/>
      <c r="AZ31" s="122"/>
      <c r="BA31" s="122"/>
      <c r="BB31" s="122"/>
      <c r="BC31" s="122"/>
      <c r="BD31" s="122"/>
      <c r="BE31" s="122"/>
      <c r="BF31" s="122"/>
      <c r="BG31" s="122"/>
      <c r="BK31" s="122"/>
      <c r="BL31" s="300" t="s">
        <v>169</v>
      </c>
      <c r="BM31" s="122"/>
      <c r="BN31" s="122"/>
      <c r="BO31" s="122"/>
      <c r="BP31" s="122"/>
      <c r="BQ31" s="122"/>
      <c r="BR31" s="122"/>
      <c r="BS31" s="122"/>
      <c r="BT31" s="122"/>
    </row>
    <row r="32" spans="1:75" ht="15" customHeight="1" x14ac:dyDescent="0.25">
      <c r="C32" s="122"/>
      <c r="D32" s="89">
        <v>15</v>
      </c>
      <c r="E32" s="437"/>
      <c r="F32" s="113" t="e">
        <f>(D33-D32)/E32</f>
        <v>#DIV/0!</v>
      </c>
      <c r="G32" s="113" t="e">
        <f>VLOOKUP(E32,Kasvuapu!C4:D55,2)</f>
        <v>#N/A</v>
      </c>
      <c r="H32" s="92" t="e">
        <f>F32*G32</f>
        <v>#DIV/0!</v>
      </c>
      <c r="I32" s="122"/>
      <c r="J32" s="115" t="e">
        <f>(Lähtötiedot!$C$17+Lähtötiedot!$C$19)*H32</f>
        <v>#DIV/0!</v>
      </c>
      <c r="N32" s="43" t="s">
        <v>76</v>
      </c>
      <c r="O32" s="44"/>
      <c r="P32" s="106">
        <v>6.3</v>
      </c>
      <c r="Q32" s="105"/>
      <c r="R32" s="310"/>
      <c r="S32" s="313"/>
      <c r="U32" s="122"/>
      <c r="V32" s="209" t="s">
        <v>90</v>
      </c>
      <c r="W32" s="187" t="s">
        <v>264</v>
      </c>
      <c r="X32" s="188" t="s">
        <v>92</v>
      </c>
      <c r="Y32" s="209" t="s">
        <v>84</v>
      </c>
      <c r="Z32" s="187" t="s">
        <v>93</v>
      </c>
      <c r="AA32" s="122"/>
      <c r="AB32" s="186" t="s">
        <v>170</v>
      </c>
      <c r="AC32" s="36"/>
      <c r="AD32" s="109"/>
      <c r="AJ32" s="209" t="s">
        <v>90</v>
      </c>
      <c r="AK32" s="187" t="s">
        <v>264</v>
      </c>
      <c r="AL32" s="188" t="s">
        <v>92</v>
      </c>
      <c r="AM32" s="209" t="s">
        <v>84</v>
      </c>
      <c r="AN32" s="187" t="s">
        <v>93</v>
      </c>
      <c r="AO32" s="122"/>
      <c r="AP32" s="186" t="s">
        <v>170</v>
      </c>
      <c r="AX32" s="209" t="s">
        <v>90</v>
      </c>
      <c r="AY32" s="187" t="s">
        <v>264</v>
      </c>
      <c r="AZ32" s="188" t="s">
        <v>92</v>
      </c>
      <c r="BA32" s="209" t="s">
        <v>84</v>
      </c>
      <c r="BB32" s="187" t="s">
        <v>93</v>
      </c>
      <c r="BC32" s="122"/>
      <c r="BD32" s="186" t="s">
        <v>170</v>
      </c>
      <c r="BE32" s="122"/>
      <c r="BF32" s="122"/>
      <c r="BG32" s="122"/>
      <c r="BK32" s="122"/>
      <c r="BL32" s="209" t="s">
        <v>90</v>
      </c>
      <c r="BM32" s="187" t="s">
        <v>264</v>
      </c>
      <c r="BN32" s="188" t="s">
        <v>92</v>
      </c>
      <c r="BO32" s="209" t="s">
        <v>84</v>
      </c>
      <c r="BP32" s="187" t="s">
        <v>93</v>
      </c>
      <c r="BQ32" s="122"/>
      <c r="BR32" s="186" t="s">
        <v>170</v>
      </c>
      <c r="BS32" s="122"/>
      <c r="BT32" s="122"/>
    </row>
    <row r="33" spans="1:75" ht="15" customHeight="1" thickBot="1" x14ac:dyDescent="0.3">
      <c r="C33" s="122"/>
      <c r="D33" s="89">
        <v>25</v>
      </c>
      <c r="E33" s="437"/>
      <c r="F33" s="113" t="e">
        <f t="shared" ref="F33" si="11">(D34-D33)/E33</f>
        <v>#DIV/0!</v>
      </c>
      <c r="G33" s="113" t="e">
        <f>VLOOKUP(E33,Kasvuapu!G5:H56,2)</f>
        <v>#N/A</v>
      </c>
      <c r="H33" s="92" t="e">
        <f>F33*G33</f>
        <v>#DIV/0!</v>
      </c>
      <c r="I33" s="122"/>
      <c r="J33" s="115" t="e">
        <f>(Lähtötiedot!$C$17+Lähtötiedot!$C$19)*H33</f>
        <v>#DIV/0!</v>
      </c>
      <c r="N33" s="45" t="s">
        <v>77</v>
      </c>
      <c r="O33" s="46"/>
      <c r="P33" s="107">
        <v>3.5</v>
      </c>
      <c r="Q33" s="105"/>
      <c r="R33" s="310"/>
      <c r="S33" s="313"/>
      <c r="U33" s="122"/>
      <c r="V33" s="209">
        <f>D51</f>
        <v>15</v>
      </c>
      <c r="W33" s="242">
        <f>E51</f>
        <v>0</v>
      </c>
      <c r="X33" s="141" t="e">
        <f>(V34-V33)/W33</f>
        <v>#DIV/0!</v>
      </c>
      <c r="Y33" s="140" t="e">
        <f>G51</f>
        <v>#N/A</v>
      </c>
      <c r="Z33" s="142" t="e">
        <f>X33*Y33</f>
        <v>#DIV/0!</v>
      </c>
      <c r="AA33" s="122"/>
      <c r="AB33" s="136" t="e">
        <f ca="1">Lähtötiedot!G18*Z33</f>
        <v>#N/A</v>
      </c>
      <c r="AC33" s="36"/>
      <c r="AD33" s="109"/>
      <c r="AJ33" s="209">
        <f>V33</f>
        <v>15</v>
      </c>
      <c r="AK33" s="140">
        <f>W33</f>
        <v>0</v>
      </c>
      <c r="AL33" s="141" t="e">
        <f>(AJ34-AJ33)/AK33</f>
        <v>#DIV/0!</v>
      </c>
      <c r="AM33" s="140" t="e">
        <f>Y33</f>
        <v>#N/A</v>
      </c>
      <c r="AN33" s="142" t="e">
        <f>AL33*AM33</f>
        <v>#DIV/0!</v>
      </c>
      <c r="AO33" s="122"/>
      <c r="AP33" s="136" t="e">
        <f ca="1">Lähtötiedot!$K$18*Ruokinta!AN33</f>
        <v>#N/A</v>
      </c>
      <c r="AX33" s="209">
        <f>AJ33</f>
        <v>15</v>
      </c>
      <c r="AY33" s="140">
        <f>AK33</f>
        <v>0</v>
      </c>
      <c r="AZ33" s="141" t="e">
        <f>(AX34-AX33)/AY33</f>
        <v>#DIV/0!</v>
      </c>
      <c r="BA33" s="140" t="e">
        <f>AM33</f>
        <v>#N/A</v>
      </c>
      <c r="BB33" s="142" t="e">
        <f>AZ33*BA33</f>
        <v>#DIV/0!</v>
      </c>
      <c r="BC33" s="122"/>
      <c r="BD33" s="136" t="e">
        <f ca="1">AY10*Ruokinta!BB33</f>
        <v>#N/A</v>
      </c>
      <c r="BE33" s="122"/>
      <c r="BF33" s="122"/>
      <c r="BG33" s="122"/>
      <c r="BK33" s="122"/>
      <c r="BL33" s="209">
        <f>AX33</f>
        <v>15</v>
      </c>
      <c r="BM33" s="140">
        <f>AY33</f>
        <v>0</v>
      </c>
      <c r="BN33" s="141" t="e">
        <f>(BL34-BL33)/BM33</f>
        <v>#DIV/0!</v>
      </c>
      <c r="BO33" s="140" t="e">
        <f>BA33</f>
        <v>#N/A</v>
      </c>
      <c r="BP33" s="142" t="e">
        <f>BN33*BO33</f>
        <v>#DIV/0!</v>
      </c>
      <c r="BQ33" s="122"/>
      <c r="BR33" s="136" t="e">
        <f ca="1">BP33*Lähtötiedot!S18</f>
        <v>#DIV/0!</v>
      </c>
      <c r="BS33" s="122"/>
      <c r="BT33" s="122"/>
    </row>
    <row r="34" spans="1:75" x14ac:dyDescent="0.25">
      <c r="C34" s="122"/>
      <c r="D34" s="89">
        <v>35</v>
      </c>
      <c r="E34" s="437"/>
      <c r="F34" s="113" t="e">
        <f>IF(D36&gt;D35,((D35-D34)/E34),IF(D36&lt;D35,((D36-D34)/E34)))</f>
        <v>#DIV/0!</v>
      </c>
      <c r="G34" s="113" t="e">
        <f>VLOOKUP(E34,Kasvuapu!K6:L57,2)</f>
        <v>#N/A</v>
      </c>
      <c r="H34" s="92" t="e">
        <f>F34*G34</f>
        <v>#DIV/0!</v>
      </c>
      <c r="I34" s="122"/>
      <c r="J34" s="115" t="e">
        <f>(Lähtötiedot!$C$17+Lähtötiedot!$C$19)*H34</f>
        <v>#DIV/0!</v>
      </c>
      <c r="N34" s="36"/>
      <c r="O34" s="36"/>
      <c r="P34" s="36"/>
      <c r="Q34" s="36"/>
      <c r="U34" s="122"/>
      <c r="V34" s="80">
        <f>D53</f>
        <v>0</v>
      </c>
      <c r="W34" s="58"/>
      <c r="X34" s="87"/>
      <c r="Y34" s="59"/>
      <c r="Z34" s="143"/>
      <c r="AA34" s="122"/>
      <c r="AB34" s="143"/>
      <c r="AC34" s="36"/>
      <c r="AD34" s="109"/>
      <c r="AJ34" s="80">
        <f>V34</f>
        <v>0</v>
      </c>
      <c r="AK34" s="58"/>
      <c r="AL34" s="87"/>
      <c r="AM34" s="59"/>
      <c r="AN34" s="143"/>
      <c r="AO34" s="122"/>
      <c r="AP34" s="143"/>
      <c r="AQ34" s="122"/>
      <c r="AR34" s="122"/>
      <c r="AS34" s="37"/>
      <c r="AW34" s="122"/>
      <c r="AX34" s="80">
        <f>AJ34</f>
        <v>0</v>
      </c>
      <c r="AY34" s="58"/>
      <c r="AZ34" s="87"/>
      <c r="BA34" s="59"/>
      <c r="BB34" s="143"/>
      <c r="BC34" s="122"/>
      <c r="BD34" s="143"/>
      <c r="BE34" s="122"/>
      <c r="BF34" s="122"/>
      <c r="BG34" s="122"/>
      <c r="BK34" s="122"/>
      <c r="BL34" s="80">
        <f>AX34</f>
        <v>0</v>
      </c>
      <c r="BM34" s="58"/>
      <c r="BN34" s="87"/>
      <c r="BO34" s="59"/>
      <c r="BP34" s="143"/>
      <c r="BQ34" s="122"/>
      <c r="BR34" s="143"/>
      <c r="BS34" s="122"/>
      <c r="BT34" s="122"/>
    </row>
    <row r="35" spans="1:75" ht="15" customHeight="1" x14ac:dyDescent="0.25">
      <c r="C35" s="122"/>
      <c r="D35" s="89">
        <v>45</v>
      </c>
      <c r="E35" s="437"/>
      <c r="F35" s="113">
        <f>IF(D36&gt;45,(D36-D35)/E35,0)</f>
        <v>0</v>
      </c>
      <c r="G35" s="113" t="e">
        <f>VLOOKUP(E35,Kasvuapu!O7:P58,2)</f>
        <v>#N/A</v>
      </c>
      <c r="H35" s="92" t="e">
        <f>F35*G35</f>
        <v>#N/A</v>
      </c>
      <c r="I35" s="122"/>
      <c r="J35" s="115" t="e">
        <f>(Lähtötiedot!$C$17+Lähtötiedot!$C$19)*H35</f>
        <v>#N/A</v>
      </c>
      <c r="Q35" s="44"/>
      <c r="R35" s="309"/>
      <c r="S35" s="312"/>
      <c r="U35" s="109"/>
      <c r="V35" s="122"/>
      <c r="W35" s="131"/>
      <c r="X35" s="131"/>
      <c r="Y35" s="131"/>
      <c r="Z35" s="131"/>
      <c r="AA35" s="131"/>
      <c r="AB35" s="131"/>
      <c r="AC35" s="36"/>
      <c r="AD35" s="109"/>
      <c r="AJ35" s="122"/>
      <c r="AK35" s="131"/>
      <c r="AL35" s="131"/>
      <c r="AM35" s="131"/>
      <c r="AN35" s="131"/>
      <c r="AO35" s="131"/>
      <c r="AP35" s="131"/>
      <c r="AQ35" s="122"/>
      <c r="AR35" s="122"/>
      <c r="AS35" s="36"/>
      <c r="AW35" s="122"/>
      <c r="AX35" s="122"/>
      <c r="AY35" s="131"/>
      <c r="AZ35" s="131"/>
      <c r="BA35" s="131"/>
      <c r="BB35" s="131"/>
      <c r="BC35" s="131"/>
      <c r="BD35" s="131"/>
      <c r="BE35" s="122"/>
      <c r="BF35" s="122"/>
      <c r="BG35" s="122"/>
      <c r="BK35" s="122"/>
      <c r="BL35" s="122"/>
      <c r="BM35" s="131"/>
      <c r="BN35" s="131"/>
      <c r="BO35" s="131"/>
      <c r="BP35" s="131"/>
      <c r="BQ35" s="131"/>
      <c r="BR35" s="131"/>
      <c r="BS35" s="122"/>
      <c r="BT35" s="122"/>
    </row>
    <row r="36" spans="1:75" s="122" customFormat="1" ht="15" customHeight="1" thickBot="1" x14ac:dyDescent="0.35">
      <c r="A36" s="308"/>
      <c r="D36" s="424"/>
      <c r="E36" s="91"/>
      <c r="F36" s="91"/>
      <c r="G36" s="91"/>
      <c r="H36" s="92"/>
      <c r="J36" s="115"/>
      <c r="O36"/>
      <c r="P36" s="50" t="s">
        <v>96</v>
      </c>
      <c r="Q36" s="131"/>
      <c r="R36" s="308"/>
      <c r="S36" s="311"/>
      <c r="T36" s="300"/>
      <c r="U36" s="300" t="s">
        <v>161</v>
      </c>
      <c r="AC36" s="36"/>
      <c r="AF36" s="311"/>
      <c r="AG36" s="308"/>
      <c r="AH36" s="300"/>
      <c r="AI36" s="300" t="s">
        <v>161</v>
      </c>
      <c r="AS36" s="36"/>
      <c r="AT36" s="308"/>
      <c r="AU36" s="311"/>
      <c r="AX36" s="300" t="s">
        <v>161</v>
      </c>
      <c r="BH36" s="311"/>
      <c r="BI36" s="308"/>
      <c r="BL36" s="300" t="s">
        <v>161</v>
      </c>
      <c r="BV36" s="308"/>
      <c r="BW36" s="311"/>
    </row>
    <row r="37" spans="1:75" ht="15" customHeight="1" x14ac:dyDescent="0.25">
      <c r="C37" s="122"/>
      <c r="D37" s="189" t="s">
        <v>85</v>
      </c>
      <c r="E37" s="110"/>
      <c r="F37" s="114" t="e">
        <f>SUM(F32:F35)</f>
        <v>#DIV/0!</v>
      </c>
      <c r="G37" s="110"/>
      <c r="H37" s="111" t="e">
        <f>SUM(H32:H35)</f>
        <v>#DIV/0!</v>
      </c>
      <c r="I37" s="122"/>
      <c r="J37" s="111" t="e">
        <f>SUM(J32:J36)</f>
        <v>#DIV/0!</v>
      </c>
      <c r="N37" s="41" t="s">
        <v>89</v>
      </c>
      <c r="O37" s="42"/>
      <c r="P37" s="98"/>
      <c r="Q37" s="131"/>
      <c r="V37" s="209" t="s">
        <v>90</v>
      </c>
      <c r="W37" s="187" t="s">
        <v>264</v>
      </c>
      <c r="X37" s="188" t="s">
        <v>92</v>
      </c>
      <c r="Y37" s="209" t="s">
        <v>84</v>
      </c>
      <c r="Z37" s="187" t="s">
        <v>93</v>
      </c>
      <c r="AA37" s="122"/>
      <c r="AB37" s="186" t="s">
        <v>95</v>
      </c>
      <c r="AC37" s="36"/>
      <c r="AJ37" s="209" t="s">
        <v>90</v>
      </c>
      <c r="AK37" s="187" t="s">
        <v>264</v>
      </c>
      <c r="AL37" s="188" t="s">
        <v>92</v>
      </c>
      <c r="AM37" s="209" t="s">
        <v>84</v>
      </c>
      <c r="AN37" s="187" t="s">
        <v>93</v>
      </c>
      <c r="AO37" s="122"/>
      <c r="AP37" s="186" t="s">
        <v>95</v>
      </c>
      <c r="AQ37" s="122"/>
      <c r="AR37" s="122"/>
      <c r="AS37" s="36"/>
      <c r="AW37" s="122"/>
      <c r="AX37" s="209" t="s">
        <v>90</v>
      </c>
      <c r="AY37" s="187" t="s">
        <v>264</v>
      </c>
      <c r="AZ37" s="188" t="s">
        <v>92</v>
      </c>
      <c r="BA37" s="209" t="s">
        <v>84</v>
      </c>
      <c r="BB37" s="187" t="s">
        <v>93</v>
      </c>
      <c r="BC37" s="122"/>
      <c r="BD37" s="186" t="s">
        <v>95</v>
      </c>
      <c r="BE37" s="122"/>
      <c r="BF37" s="122"/>
      <c r="BG37" s="122"/>
      <c r="BK37" s="122"/>
      <c r="BL37" s="209" t="s">
        <v>90</v>
      </c>
      <c r="BM37" s="187" t="s">
        <v>264</v>
      </c>
      <c r="BN37" s="188" t="s">
        <v>92</v>
      </c>
      <c r="BO37" s="209" t="s">
        <v>84</v>
      </c>
      <c r="BP37" s="187" t="s">
        <v>93</v>
      </c>
      <c r="BQ37" s="122"/>
      <c r="BR37" s="186" t="s">
        <v>95</v>
      </c>
      <c r="BS37" s="122"/>
      <c r="BT37" s="122"/>
    </row>
    <row r="38" spans="1:75" ht="22.5" customHeight="1" x14ac:dyDescent="0.25">
      <c r="C38" s="122"/>
      <c r="D38" s="122"/>
      <c r="E38" s="122"/>
      <c r="F38" s="122"/>
      <c r="G38" s="122"/>
      <c r="H38" s="122"/>
      <c r="I38" s="122"/>
      <c r="J38" s="122"/>
      <c r="N38" s="43" t="s">
        <v>90</v>
      </c>
      <c r="O38" s="131" t="s">
        <v>91</v>
      </c>
      <c r="P38" s="144" t="s">
        <v>66</v>
      </c>
      <c r="Q38" s="105"/>
      <c r="V38" s="209">
        <f>D32</f>
        <v>15</v>
      </c>
      <c r="W38" s="91">
        <f>E32</f>
        <v>0</v>
      </c>
      <c r="X38" s="113" t="e">
        <f>(V39-V38)/W38</f>
        <v>#DIV/0!</v>
      </c>
      <c r="Y38" s="113" t="e">
        <f>G32</f>
        <v>#N/A</v>
      </c>
      <c r="Z38" s="135" t="e">
        <f>X38*Y38</f>
        <v>#DIV/0!</v>
      </c>
      <c r="AA38" s="122"/>
      <c r="AB38" s="115" t="e">
        <f ca="1">(Lähtötiedot!$G$17+Lähtötiedot!$G$19)*Z38</f>
        <v>#DIV/0!</v>
      </c>
      <c r="AC38" s="36"/>
      <c r="AJ38" s="209">
        <f>V38</f>
        <v>15</v>
      </c>
      <c r="AK38" s="91">
        <f>W38</f>
        <v>0</v>
      </c>
      <c r="AL38" s="113" t="e">
        <f>(AJ39-AJ38)/AK38</f>
        <v>#DIV/0!</v>
      </c>
      <c r="AM38" s="113" t="e">
        <f>Y38</f>
        <v>#N/A</v>
      </c>
      <c r="AN38" s="137" t="e">
        <f>AL38*AM38</f>
        <v>#DIV/0!</v>
      </c>
      <c r="AO38" s="122"/>
      <c r="AP38" s="115" t="e">
        <f ca="1">(Lähtötiedot!$K$17+Lähtötiedot!$K$19)*AN38</f>
        <v>#N/A</v>
      </c>
      <c r="AQ38" s="122"/>
      <c r="AR38" s="122"/>
      <c r="AS38" s="122"/>
      <c r="AW38" s="122"/>
      <c r="AX38" s="209">
        <f>AJ38</f>
        <v>15</v>
      </c>
      <c r="AY38" s="91">
        <f>AK38</f>
        <v>0</v>
      </c>
      <c r="AZ38" s="113" t="e">
        <f>(AX39-AX38)/AY38</f>
        <v>#DIV/0!</v>
      </c>
      <c r="BA38" s="113" t="e">
        <f>AM38</f>
        <v>#N/A</v>
      </c>
      <c r="BB38" s="149" t="e">
        <f>AZ38*BA38</f>
        <v>#DIV/0!</v>
      </c>
      <c r="BC38" s="122"/>
      <c r="BD38" s="115" t="e">
        <f ca="1">(Lähtötiedot!$O$17+Lähtötiedot!$O$19)*BB38</f>
        <v>#N/A</v>
      </c>
      <c r="BE38" s="122"/>
      <c r="BF38" s="122"/>
      <c r="BG38" s="122"/>
      <c r="BK38" s="122"/>
      <c r="BL38" s="209">
        <f>AX38</f>
        <v>15</v>
      </c>
      <c r="BM38" s="91">
        <f>AY38</f>
        <v>0</v>
      </c>
      <c r="BN38" s="113" t="e">
        <f>(BL39-BL38)/BM38</f>
        <v>#DIV/0!</v>
      </c>
      <c r="BO38" s="113" t="e">
        <f>BA38</f>
        <v>#N/A</v>
      </c>
      <c r="BP38" s="161" t="e">
        <f>BN38*BO38</f>
        <v>#DIV/0!</v>
      </c>
      <c r="BQ38" s="122"/>
      <c r="BR38" s="115" t="e">
        <f ca="1">(Lähtötiedot!$S$17+Lähtötiedot!$S$19)*BP38</f>
        <v>#N/A</v>
      </c>
      <c r="BS38" s="122"/>
      <c r="BT38" s="122"/>
    </row>
    <row r="39" spans="1:75" ht="15" customHeight="1" x14ac:dyDescent="0.3">
      <c r="B39" s="300"/>
      <c r="C39" s="300" t="s">
        <v>165</v>
      </c>
      <c r="D39" s="36"/>
      <c r="E39" s="36"/>
      <c r="F39" s="36"/>
      <c r="G39" s="36"/>
      <c r="H39" s="36"/>
      <c r="I39" s="36"/>
      <c r="J39" s="36"/>
      <c r="N39" s="43">
        <v>15</v>
      </c>
      <c r="O39" s="131">
        <v>0.1</v>
      </c>
      <c r="P39" s="106">
        <v>4.9000000000000004</v>
      </c>
      <c r="Q39" s="105"/>
      <c r="V39" s="209">
        <v>25</v>
      </c>
      <c r="W39" s="91">
        <f>E33</f>
        <v>0</v>
      </c>
      <c r="X39" s="113" t="e">
        <f t="shared" ref="X39" si="12">(V40-V39)/W39</f>
        <v>#DIV/0!</v>
      </c>
      <c r="Y39" s="113" t="e">
        <f>G33</f>
        <v>#N/A</v>
      </c>
      <c r="Z39" s="135" t="e">
        <f>X39*Y39</f>
        <v>#DIV/0!</v>
      </c>
      <c r="AA39" s="122"/>
      <c r="AB39" s="115" t="e">
        <f ca="1">(Lähtötiedot!$G$17+Lähtötiedot!$G$19)*Z39</f>
        <v>#DIV/0!</v>
      </c>
      <c r="AC39" s="36"/>
      <c r="AJ39" s="209">
        <v>25</v>
      </c>
      <c r="AK39" s="91">
        <f>W39</f>
        <v>0</v>
      </c>
      <c r="AL39" s="113" t="e">
        <f t="shared" ref="AL39" si="13">(AJ40-AJ39)/AK39</f>
        <v>#DIV/0!</v>
      </c>
      <c r="AM39" s="113" t="e">
        <f>Y39</f>
        <v>#N/A</v>
      </c>
      <c r="AN39" s="137" t="e">
        <f>AL39*AM39</f>
        <v>#DIV/0!</v>
      </c>
      <c r="AO39" s="122"/>
      <c r="AP39" s="115" t="e">
        <f ca="1">(Lähtötiedot!$K$17+Lähtötiedot!$K$19)*AN39</f>
        <v>#N/A</v>
      </c>
      <c r="AQ39" s="122"/>
      <c r="AR39" s="122"/>
      <c r="AS39" s="122"/>
      <c r="AW39" s="122"/>
      <c r="AX39" s="209">
        <v>25</v>
      </c>
      <c r="AY39" s="91">
        <f t="shared" ref="AY39:AY41" si="14">AK39</f>
        <v>0</v>
      </c>
      <c r="AZ39" s="113" t="e">
        <f t="shared" ref="AZ39" si="15">(AX40-AX39)/AY39</f>
        <v>#DIV/0!</v>
      </c>
      <c r="BA39" s="113" t="e">
        <f t="shared" ref="BA39:BA41" si="16">AM39</f>
        <v>#N/A</v>
      </c>
      <c r="BB39" s="149" t="e">
        <f>AZ39*BA39</f>
        <v>#DIV/0!</v>
      </c>
      <c r="BC39" s="122"/>
      <c r="BD39" s="115" t="e">
        <f ca="1">(Lähtötiedot!$O$17+Lähtötiedot!$O$19)*BB39</f>
        <v>#N/A</v>
      </c>
      <c r="BE39" s="122"/>
      <c r="BF39" s="122"/>
      <c r="BG39" s="122"/>
      <c r="BK39" s="122"/>
      <c r="BL39" s="209">
        <v>25</v>
      </c>
      <c r="BM39" s="91">
        <f t="shared" ref="BM39:BM41" si="17">AY39</f>
        <v>0</v>
      </c>
      <c r="BN39" s="113" t="e">
        <f t="shared" ref="BN39" si="18">(BL40-BL39)/BM39</f>
        <v>#DIV/0!</v>
      </c>
      <c r="BO39" s="113" t="e">
        <f t="shared" ref="BO39:BO41" si="19">BA39</f>
        <v>#N/A</v>
      </c>
      <c r="BP39" s="161" t="e">
        <f>BN39*BO39</f>
        <v>#DIV/0!</v>
      </c>
      <c r="BQ39" s="122"/>
      <c r="BR39" s="115" t="e">
        <f ca="1">(Lähtötiedot!$S$17+Lähtötiedot!$S$19)*BP39</f>
        <v>#N/A</v>
      </c>
      <c r="BS39" s="122"/>
      <c r="BT39" s="122"/>
    </row>
    <row r="40" spans="1:75" ht="31.5" x14ac:dyDescent="0.25">
      <c r="C40" s="36"/>
      <c r="D40" s="209" t="s">
        <v>90</v>
      </c>
      <c r="E40" s="187" t="s">
        <v>264</v>
      </c>
      <c r="F40" s="188" t="s">
        <v>92</v>
      </c>
      <c r="G40" s="209" t="s">
        <v>84</v>
      </c>
      <c r="H40" s="187" t="s">
        <v>93</v>
      </c>
      <c r="I40" s="122"/>
      <c r="J40" s="186" t="s">
        <v>95</v>
      </c>
      <c r="N40" s="43"/>
      <c r="O40" s="48">
        <v>0.2</v>
      </c>
      <c r="P40" s="144">
        <v>6.8</v>
      </c>
      <c r="Q40" s="105"/>
      <c r="V40" s="209">
        <v>35</v>
      </c>
      <c r="W40" s="91">
        <f>E34</f>
        <v>0</v>
      </c>
      <c r="X40" s="113" t="e">
        <f>IF(V42&gt;V41,((V41-V40)/W40),IF(V42&lt;V41,((V42-V40)/W40)))</f>
        <v>#DIV/0!</v>
      </c>
      <c r="Y40" s="113" t="e">
        <f>G34</f>
        <v>#N/A</v>
      </c>
      <c r="Z40" s="137" t="e">
        <f>X40*Y40</f>
        <v>#DIV/0!</v>
      </c>
      <c r="AA40" s="122"/>
      <c r="AB40" s="115" t="e">
        <f ca="1">(Lähtötiedot!$G$17+Lähtötiedot!$G$19)*Z40</f>
        <v>#DIV/0!</v>
      </c>
      <c r="AC40" s="122"/>
      <c r="AJ40" s="209">
        <v>35</v>
      </c>
      <c r="AK40" s="91">
        <f>W40</f>
        <v>0</v>
      </c>
      <c r="AL40" s="113" t="e">
        <f>IF(AJ42&gt;AJ41,((AJ41-AJ40)/AK40),IF(AJ42&lt;AJ41,((AJ42-AJ40)/AK40)))</f>
        <v>#DIV/0!</v>
      </c>
      <c r="AM40" s="113" t="e">
        <f>Y40</f>
        <v>#N/A</v>
      </c>
      <c r="AN40" s="137" t="e">
        <f>AL40*AM40</f>
        <v>#DIV/0!</v>
      </c>
      <c r="AO40" s="122"/>
      <c r="AP40" s="115" t="e">
        <f ca="1">(Lähtötiedot!$K$17+Lähtötiedot!$K$19)*AN40</f>
        <v>#N/A</v>
      </c>
      <c r="AQ40" s="122"/>
      <c r="AR40" s="122"/>
      <c r="AS40" s="122"/>
      <c r="AW40" s="122"/>
      <c r="AX40" s="209">
        <v>35</v>
      </c>
      <c r="AY40" s="91">
        <f t="shared" si="14"/>
        <v>0</v>
      </c>
      <c r="AZ40" s="113" t="e">
        <f>IF(AX42&gt;AX41,((AX41-AX40)/AY40),IF(AX42&lt;AX41,((AX42-AX40)/AY40)))</f>
        <v>#DIV/0!</v>
      </c>
      <c r="BA40" s="113" t="e">
        <f t="shared" si="16"/>
        <v>#N/A</v>
      </c>
      <c r="BB40" s="149" t="e">
        <f>AZ40*BA40</f>
        <v>#DIV/0!</v>
      </c>
      <c r="BC40" s="122"/>
      <c r="BD40" s="115" t="e">
        <f ca="1">(Lähtötiedot!$O$17+Lähtötiedot!$O$19)*BB40</f>
        <v>#N/A</v>
      </c>
      <c r="BE40" s="122"/>
      <c r="BF40" s="122"/>
      <c r="BG40" s="122"/>
      <c r="BK40" s="122"/>
      <c r="BL40" s="209">
        <v>35</v>
      </c>
      <c r="BM40" s="91">
        <f t="shared" si="17"/>
        <v>0</v>
      </c>
      <c r="BN40" s="113" t="e">
        <f>IF(BL42&gt;BL41,((BL41-BL40)/BM40),IF(BL42&lt;BL41,((BL42-BL40)/BM40)))</f>
        <v>#DIV/0!</v>
      </c>
      <c r="BO40" s="113" t="e">
        <f t="shared" si="19"/>
        <v>#N/A</v>
      </c>
      <c r="BP40" s="161" t="e">
        <f>BN40*BO40</f>
        <v>#DIV/0!</v>
      </c>
      <c r="BQ40" s="122"/>
      <c r="BR40" s="115" t="e">
        <f ca="1">(Lähtötiedot!$S$17+Lähtötiedot!$S$19)*BP40</f>
        <v>#N/A</v>
      </c>
      <c r="BS40" s="122"/>
      <c r="BT40" s="122"/>
    </row>
    <row r="41" spans="1:75" x14ac:dyDescent="0.25">
      <c r="C41" s="36"/>
      <c r="D41" s="209">
        <v>15</v>
      </c>
      <c r="E41" s="437"/>
      <c r="F41" s="92" t="e">
        <f>(D42-D41)/E41</f>
        <v>#DIV/0!</v>
      </c>
      <c r="G41" s="113" t="e">
        <f>VLOOKUP(E32,Kasvuapu!C4:D55,2)</f>
        <v>#N/A</v>
      </c>
      <c r="H41" s="92" t="e">
        <f>F41*G41</f>
        <v>#DIV/0!</v>
      </c>
      <c r="I41" s="122"/>
      <c r="J41" s="115" t="e">
        <f>H41*Lähtötiedot!$C$16</f>
        <v>#DIV/0!</v>
      </c>
      <c r="K41" s="36"/>
      <c r="L41" s="36"/>
      <c r="M41" s="36"/>
      <c r="N41" s="43"/>
      <c r="O41" s="48">
        <v>0.3</v>
      </c>
      <c r="P41" s="144">
        <v>8.6999999999999993</v>
      </c>
      <c r="Q41" s="105"/>
      <c r="V41" s="209">
        <v>45</v>
      </c>
      <c r="W41" s="91">
        <f>E35</f>
        <v>0</v>
      </c>
      <c r="X41" s="113">
        <f>IF(V42&gt;45,(V42-V41)/W41,0)</f>
        <v>0</v>
      </c>
      <c r="Y41" s="113" t="e">
        <f>G35</f>
        <v>#N/A</v>
      </c>
      <c r="Z41" s="137" t="e">
        <f>X41*Y41</f>
        <v>#N/A</v>
      </c>
      <c r="AA41" s="122"/>
      <c r="AB41" s="115" t="e">
        <f ca="1">(Lähtötiedot!$G$17+Lähtötiedot!$G$19)*Z41</f>
        <v>#DIV/0!</v>
      </c>
      <c r="AC41" s="122"/>
      <c r="AJ41" s="209">
        <v>45</v>
      </c>
      <c r="AK41" s="91">
        <f>W41</f>
        <v>0</v>
      </c>
      <c r="AL41" s="113">
        <f>IF(AJ42&gt;45,(AJ42-AJ41)/AK41,0)</f>
        <v>0</v>
      </c>
      <c r="AM41" s="113" t="e">
        <f>Y41</f>
        <v>#N/A</v>
      </c>
      <c r="AN41" s="137" t="e">
        <f>AL41*AM41</f>
        <v>#N/A</v>
      </c>
      <c r="AO41" s="122"/>
      <c r="AP41" s="115" t="e">
        <f ca="1">(Lähtötiedot!$K$17+Lähtötiedot!$K$19)*AN41</f>
        <v>#N/A</v>
      </c>
      <c r="AQ41" s="122"/>
      <c r="AR41" s="122"/>
      <c r="AS41" s="122"/>
      <c r="AW41" s="122"/>
      <c r="AX41" s="209">
        <v>45</v>
      </c>
      <c r="AY41" s="91">
        <f t="shared" si="14"/>
        <v>0</v>
      </c>
      <c r="AZ41" s="113">
        <f>IF(AX42&gt;45,(AX42-AX41)/AY41,0)</f>
        <v>0</v>
      </c>
      <c r="BA41" s="113" t="e">
        <f t="shared" si="16"/>
        <v>#N/A</v>
      </c>
      <c r="BB41" s="149" t="e">
        <f>AZ41*BA41</f>
        <v>#N/A</v>
      </c>
      <c r="BC41" s="122"/>
      <c r="BD41" s="115" t="e">
        <f ca="1">(Lähtötiedot!$O$17+Lähtötiedot!$O$19)*BB41</f>
        <v>#N/A</v>
      </c>
      <c r="BE41" s="122"/>
      <c r="BF41" s="122"/>
      <c r="BG41" s="122"/>
      <c r="BK41" s="122"/>
      <c r="BL41" s="209">
        <v>45</v>
      </c>
      <c r="BM41" s="91">
        <f t="shared" si="17"/>
        <v>0</v>
      </c>
      <c r="BN41" s="113">
        <f>IF(BL42&gt;45,(BL42-BL41)/BM41,0)</f>
        <v>0</v>
      </c>
      <c r="BO41" s="113" t="e">
        <f t="shared" si="19"/>
        <v>#N/A</v>
      </c>
      <c r="BP41" s="161" t="e">
        <f>BN41*BO41</f>
        <v>#N/A</v>
      </c>
      <c r="BQ41" s="122"/>
      <c r="BR41" s="115" t="e">
        <f ca="1">(Lähtötiedot!$S$17+Lähtötiedot!$S$19)*BP41</f>
        <v>#N/A</v>
      </c>
      <c r="BS41" s="122"/>
      <c r="BT41" s="122"/>
    </row>
    <row r="42" spans="1:75" x14ac:dyDescent="0.25">
      <c r="C42" s="36"/>
      <c r="D42" s="209">
        <v>25</v>
      </c>
      <c r="E42" s="437"/>
      <c r="F42" s="92" t="e">
        <f>(D43-D42)/E42</f>
        <v>#DIV/0!</v>
      </c>
      <c r="G42" s="113" t="e">
        <f>VLOOKUP(E33,Kasvuapu!G5:H56,2)</f>
        <v>#N/A</v>
      </c>
      <c r="H42" s="92" t="e">
        <f>F42*G42</f>
        <v>#DIV/0!</v>
      </c>
      <c r="I42" s="122"/>
      <c r="J42" s="115" t="e">
        <f>H42*Lähtötiedot!$C$16</f>
        <v>#DIV/0!</v>
      </c>
      <c r="K42" s="36"/>
      <c r="L42" s="36"/>
      <c r="M42" s="36"/>
      <c r="N42" s="43"/>
      <c r="O42" s="48">
        <v>0.4</v>
      </c>
      <c r="P42" s="144">
        <v>10.6</v>
      </c>
      <c r="Q42" s="105"/>
      <c r="V42" s="209">
        <f>D36</f>
        <v>0</v>
      </c>
      <c r="W42" s="91"/>
      <c r="X42" s="91"/>
      <c r="Y42" s="113"/>
      <c r="Z42" s="137"/>
      <c r="AA42" s="122"/>
      <c r="AB42" s="115" t="e">
        <f ca="1">(Lähtötiedot!$G$17+Lähtötiedot!$G$19)*Z42</f>
        <v>#DIV/0!</v>
      </c>
      <c r="AC42" s="122"/>
      <c r="AJ42" s="209">
        <f>V42</f>
        <v>0</v>
      </c>
      <c r="AK42" s="91"/>
      <c r="AL42" s="91"/>
      <c r="AM42" s="113"/>
      <c r="AN42" s="137"/>
      <c r="AO42" s="122"/>
      <c r="AP42" s="115" t="e">
        <f ca="1">(Lähtötiedot!$K$17+Lähtötiedot!$K$19)*AN42</f>
        <v>#N/A</v>
      </c>
      <c r="AQ42" s="122"/>
      <c r="AR42" s="122"/>
      <c r="AS42" s="122"/>
      <c r="AW42" s="122"/>
      <c r="AX42" s="209">
        <f>AJ42</f>
        <v>0</v>
      </c>
      <c r="AY42" s="91"/>
      <c r="AZ42" s="91"/>
      <c r="BA42" s="113">
        <f>G36</f>
        <v>0</v>
      </c>
      <c r="BB42" s="149"/>
      <c r="BC42" s="122"/>
      <c r="BD42" s="115" t="e">
        <f ca="1">(Lähtötiedot!$O$17+Lähtötiedot!$O$19)*BB42</f>
        <v>#N/A</v>
      </c>
      <c r="BE42" s="122"/>
      <c r="BF42" s="122"/>
      <c r="BG42" s="122"/>
      <c r="BK42" s="122"/>
      <c r="BL42" s="209">
        <f>AX42</f>
        <v>0</v>
      </c>
      <c r="BM42" s="91"/>
      <c r="BN42" s="91"/>
      <c r="BO42" s="113">
        <f>G36</f>
        <v>0</v>
      </c>
      <c r="BP42" s="161"/>
      <c r="BQ42" s="122"/>
      <c r="BR42" s="115" t="e">
        <f ca="1">(Lähtötiedot!$S$17+Lähtötiedot!$S$19)*BP42</f>
        <v>#N/A</v>
      </c>
      <c r="BS42" s="122"/>
      <c r="BT42" s="122"/>
    </row>
    <row r="43" spans="1:75" x14ac:dyDescent="0.25">
      <c r="C43" s="36"/>
      <c r="D43" s="209">
        <v>35</v>
      </c>
      <c r="E43" s="437"/>
      <c r="F43" s="113" t="e">
        <f>IF(D45&gt;D44,((D44-D43)/E43),IF(D45&lt;D44,((D45-D43)/E43)))</f>
        <v>#DIV/0!</v>
      </c>
      <c r="G43" s="113" t="e">
        <f>VLOOKUP(E34,Kasvuapu!K6:L57,2)</f>
        <v>#N/A</v>
      </c>
      <c r="H43" s="92" t="e">
        <f>F43*G43</f>
        <v>#DIV/0!</v>
      </c>
      <c r="I43" s="122"/>
      <c r="J43" s="115" t="e">
        <f>H43*Lähtötiedot!$C$16</f>
        <v>#DIV/0!</v>
      </c>
      <c r="K43" s="36"/>
      <c r="L43" s="36"/>
      <c r="M43" s="36"/>
      <c r="N43" s="43">
        <v>25</v>
      </c>
      <c r="O43" s="259">
        <v>0.1</v>
      </c>
      <c r="P43" s="261">
        <v>7.3</v>
      </c>
      <c r="Q43" s="105"/>
      <c r="V43" s="210" t="s">
        <v>85</v>
      </c>
      <c r="W43" s="110"/>
      <c r="X43" s="114" t="e">
        <f>SUM(X38:X41)</f>
        <v>#DIV/0!</v>
      </c>
      <c r="Y43" s="110"/>
      <c r="Z43" s="138" t="e">
        <f>SUM(Z38:Z41)</f>
        <v>#DIV/0!</v>
      </c>
      <c r="AA43" s="122"/>
      <c r="AB43" s="138" t="e">
        <f ca="1">SUM(AB38:AB42)</f>
        <v>#DIV/0!</v>
      </c>
      <c r="AC43" s="122"/>
      <c r="AJ43" s="210" t="s">
        <v>85</v>
      </c>
      <c r="AK43" s="110"/>
      <c r="AL43" s="114" t="e">
        <f>SUM(AL38:AL41)</f>
        <v>#DIV/0!</v>
      </c>
      <c r="AM43" s="110"/>
      <c r="AN43" s="138" t="e">
        <f>SUM(AN38:AN41)</f>
        <v>#DIV/0!</v>
      </c>
      <c r="AO43" s="122"/>
      <c r="AP43" s="138" t="e">
        <f ca="1">SUM(AP38:AP42)</f>
        <v>#N/A</v>
      </c>
      <c r="AQ43" s="122"/>
      <c r="AR43" s="122"/>
      <c r="AS43" s="122"/>
      <c r="AW43" s="122"/>
      <c r="AX43" s="210" t="s">
        <v>85</v>
      </c>
      <c r="AY43" s="110"/>
      <c r="AZ43" s="114" t="e">
        <f>SUM(AZ38:AZ41)+Lähtötiedot!AD21</f>
        <v>#DIV/0!</v>
      </c>
      <c r="BA43" s="110"/>
      <c r="BB43" s="150" t="e">
        <f>SUM(BB38:BB41)</f>
        <v>#DIV/0!</v>
      </c>
      <c r="BC43" s="122"/>
      <c r="BD43" s="150" t="e">
        <f ca="1">SUM(BD38:BD42)</f>
        <v>#N/A</v>
      </c>
      <c r="BE43" s="122"/>
      <c r="BF43" s="122"/>
      <c r="BG43" s="122"/>
      <c r="BK43" s="122"/>
      <c r="BL43" s="210" t="s">
        <v>85</v>
      </c>
      <c r="BM43" s="110"/>
      <c r="BN43" s="114" t="e">
        <f>SUM(BN38:BN41)+Lähtötiedot!AP21</f>
        <v>#DIV/0!</v>
      </c>
      <c r="BO43" s="110"/>
      <c r="BP43" s="162" t="e">
        <f>SUM(BP38:BP41)</f>
        <v>#DIV/0!</v>
      </c>
      <c r="BQ43" s="122"/>
      <c r="BR43" s="162" t="e">
        <f ca="1">SUM(BR38:BR42)</f>
        <v>#N/A</v>
      </c>
      <c r="BS43" s="122"/>
      <c r="BT43" s="122"/>
    </row>
    <row r="44" spans="1:75" ht="18.75" customHeight="1" x14ac:dyDescent="0.25">
      <c r="D44" s="209">
        <v>45</v>
      </c>
      <c r="E44" s="437"/>
      <c r="F44" s="113">
        <f>IF(D45&gt;45,(D45-D44)/E44,0)</f>
        <v>0</v>
      </c>
      <c r="G44" s="113" t="e">
        <f>VLOOKUP(E35,Kasvuapu!O7:P58,2)</f>
        <v>#N/A</v>
      </c>
      <c r="H44" s="92" t="e">
        <f>F44*G44</f>
        <v>#N/A</v>
      </c>
      <c r="I44" s="122"/>
      <c r="J44" s="115" t="e">
        <f>H44*Lähtötiedot!$C$16</f>
        <v>#N/A</v>
      </c>
      <c r="K44" s="36"/>
      <c r="L44" s="36"/>
      <c r="M44" s="36"/>
      <c r="N44" s="43"/>
      <c r="O44" s="48">
        <v>0.2</v>
      </c>
      <c r="P44" s="144">
        <v>10</v>
      </c>
      <c r="Q44" s="105"/>
      <c r="V44" s="122"/>
      <c r="W44" s="122"/>
      <c r="X44" s="122"/>
      <c r="Y44" s="122"/>
      <c r="Z44" s="122"/>
      <c r="AA44" s="122"/>
      <c r="AB44" s="122"/>
      <c r="AC44" s="122"/>
      <c r="AJ44" s="122"/>
      <c r="AK44" s="122"/>
      <c r="AL44" s="122"/>
      <c r="AM44" s="122"/>
      <c r="AN44" s="122"/>
      <c r="AO44" s="122"/>
      <c r="AP44" s="122"/>
      <c r="AQ44" s="122"/>
      <c r="AR44" s="122"/>
      <c r="AS44" s="122"/>
      <c r="AW44" s="122"/>
      <c r="AX44" s="122"/>
      <c r="AY44" s="122"/>
      <c r="AZ44" s="122"/>
      <c r="BA44" s="122"/>
      <c r="BB44" s="122"/>
      <c r="BC44" s="122"/>
      <c r="BD44" s="122"/>
      <c r="BE44" s="122"/>
      <c r="BF44" s="122"/>
      <c r="BG44" s="122"/>
      <c r="BK44" s="122"/>
      <c r="BL44" s="122"/>
      <c r="BM44" s="122"/>
      <c r="BN44" s="122"/>
      <c r="BO44" s="122"/>
      <c r="BP44" s="122"/>
      <c r="BQ44" s="122"/>
      <c r="BR44" s="122"/>
      <c r="BS44" s="122"/>
      <c r="BT44" s="122"/>
    </row>
    <row r="45" spans="1:75" s="122" customFormat="1" ht="18.75" customHeight="1" x14ac:dyDescent="0.3">
      <c r="A45" s="308"/>
      <c r="D45" s="424"/>
      <c r="E45" s="91"/>
      <c r="F45" s="92"/>
      <c r="G45" s="91"/>
      <c r="H45" s="92"/>
      <c r="J45" s="115">
        <f>H45*Lähtötiedot!$C$16</f>
        <v>0</v>
      </c>
      <c r="N45" s="43"/>
      <c r="O45" s="48">
        <v>0.3</v>
      </c>
      <c r="P45" s="144">
        <v>12.7</v>
      </c>
      <c r="Q45" s="105"/>
      <c r="R45" s="308"/>
      <c r="S45" s="311"/>
      <c r="T45" s="130"/>
      <c r="U45" s="130" t="s">
        <v>167</v>
      </c>
      <c r="W45" s="99"/>
      <c r="AF45" s="311"/>
      <c r="AG45" s="308"/>
      <c r="AH45" s="130"/>
      <c r="AI45" s="130" t="s">
        <v>167</v>
      </c>
      <c r="AK45" s="99"/>
      <c r="AT45" s="308"/>
      <c r="AU45" s="311"/>
      <c r="AX45" s="130" t="s">
        <v>167</v>
      </c>
      <c r="AY45" s="99"/>
      <c r="BH45" s="311"/>
      <c r="BI45" s="308"/>
      <c r="BL45" s="130" t="s">
        <v>167</v>
      </c>
      <c r="BM45" s="99"/>
      <c r="BV45" s="308"/>
      <c r="BW45" s="311"/>
    </row>
    <row r="46" spans="1:75" ht="15" customHeight="1" x14ac:dyDescent="0.25">
      <c r="D46" s="157" t="s">
        <v>67</v>
      </c>
      <c r="E46" s="91"/>
      <c r="F46" s="92" t="e">
        <f>365-(F41+F42+F43+F44+F45+Lähtötiedot!C21)-(11/E41)</f>
        <v>#DIV/0!</v>
      </c>
      <c r="G46" s="91">
        <f>IF(D45&lt;O17,P16,IF(D45&lt;O18,P17,IF(D45&lt;O19,P18,IF(D45&lt;O20,P19,IF(D45&lt;O21,P20,IF(D45&lt;O22,P21,IF(D45&gt;=O22,P22)))))))</f>
        <v>6.3</v>
      </c>
      <c r="H46" s="92" t="e">
        <f>F46*G46</f>
        <v>#DIV/0!</v>
      </c>
      <c r="I46" s="122"/>
      <c r="J46" s="115" t="e">
        <f>H46*Lähtötiedot!$C$16</f>
        <v>#DIV/0!</v>
      </c>
      <c r="K46" s="36"/>
      <c r="L46" s="36"/>
      <c r="M46" s="36"/>
      <c r="N46" s="43"/>
      <c r="O46" s="48">
        <v>0.4</v>
      </c>
      <c r="P46" s="144">
        <v>15.4</v>
      </c>
      <c r="Q46" s="105"/>
      <c r="R46" s="309"/>
      <c r="S46" s="312"/>
      <c r="U46" s="122"/>
      <c r="V46" s="209" t="s">
        <v>90</v>
      </c>
      <c r="W46" s="187" t="s">
        <v>264</v>
      </c>
      <c r="X46" s="188" t="s">
        <v>92</v>
      </c>
      <c r="Y46" s="209" t="s">
        <v>84</v>
      </c>
      <c r="Z46" s="187" t="s">
        <v>93</v>
      </c>
      <c r="AA46" s="122"/>
      <c r="AB46" s="186" t="s">
        <v>95</v>
      </c>
      <c r="AC46" s="122"/>
      <c r="AD46" s="122"/>
      <c r="AJ46" s="209" t="s">
        <v>90</v>
      </c>
      <c r="AK46" s="187" t="s">
        <v>264</v>
      </c>
      <c r="AL46" s="188" t="s">
        <v>92</v>
      </c>
      <c r="AM46" s="209" t="s">
        <v>84</v>
      </c>
      <c r="AN46" s="187" t="s">
        <v>93</v>
      </c>
      <c r="AO46" s="122"/>
      <c r="AP46" s="186" t="s">
        <v>95</v>
      </c>
      <c r="AQ46" s="122"/>
      <c r="AR46" s="122"/>
      <c r="AS46" s="122"/>
      <c r="AW46" s="122"/>
      <c r="AX46" s="209" t="s">
        <v>90</v>
      </c>
      <c r="AY46" s="187" t="s">
        <v>264</v>
      </c>
      <c r="AZ46" s="188" t="s">
        <v>92</v>
      </c>
      <c r="BA46" s="209" t="s">
        <v>84</v>
      </c>
      <c r="BB46" s="187" t="s">
        <v>93</v>
      </c>
      <c r="BC46" s="122"/>
      <c r="BD46" s="186" t="s">
        <v>95</v>
      </c>
      <c r="BE46" s="122"/>
      <c r="BF46" s="122"/>
      <c r="BG46" s="122"/>
      <c r="BK46" s="122"/>
      <c r="BL46" s="209" t="s">
        <v>90</v>
      </c>
      <c r="BM46" s="187" t="s">
        <v>264</v>
      </c>
      <c r="BN46" s="188" t="s">
        <v>92</v>
      </c>
      <c r="BO46" s="209" t="s">
        <v>84</v>
      </c>
      <c r="BP46" s="187" t="s">
        <v>93</v>
      </c>
      <c r="BQ46" s="122"/>
      <c r="BR46" s="186" t="s">
        <v>95</v>
      </c>
      <c r="BS46" s="122"/>
      <c r="BT46" s="122"/>
    </row>
    <row r="47" spans="1:75" ht="18.75" x14ac:dyDescent="0.3">
      <c r="D47" s="210" t="s">
        <v>85</v>
      </c>
      <c r="E47" s="110"/>
      <c r="F47" s="111" t="e">
        <f>SUM(F41:F46)+Lähtötiedot!C21+11/E41</f>
        <v>#DIV/0!</v>
      </c>
      <c r="G47" s="110"/>
      <c r="H47" s="111" t="e">
        <f>SUM(H41:H46)</f>
        <v>#DIV/0!</v>
      </c>
      <c r="I47" s="122"/>
      <c r="J47" s="111" t="e">
        <f>SUM(J41:J46)</f>
        <v>#DIV/0!</v>
      </c>
      <c r="N47" s="43"/>
      <c r="O47" s="48">
        <v>0.5</v>
      </c>
      <c r="P47" s="144">
        <v>18.2</v>
      </c>
      <c r="Q47" s="105"/>
      <c r="V47" s="209">
        <f>D41</f>
        <v>15</v>
      </c>
      <c r="W47" s="91">
        <f>E41</f>
        <v>0</v>
      </c>
      <c r="X47" s="113" t="e">
        <f>(V48-V47)/W47</f>
        <v>#DIV/0!</v>
      </c>
      <c r="Y47" s="113" t="e">
        <f>G41</f>
        <v>#N/A</v>
      </c>
      <c r="Z47" s="137" t="e">
        <f>X47*Y47</f>
        <v>#DIV/0!</v>
      </c>
      <c r="AA47" s="122"/>
      <c r="AB47" s="115" t="e">
        <f ca="1">Lähtötiedot!$G$16*Z47</f>
        <v>#N/A</v>
      </c>
      <c r="AC47" s="122"/>
      <c r="AJ47" s="209">
        <f>V47</f>
        <v>15</v>
      </c>
      <c r="AK47" s="91">
        <f>W47</f>
        <v>0</v>
      </c>
      <c r="AL47" s="113" t="e">
        <f>(AJ48-AJ47)/AK47</f>
        <v>#DIV/0!</v>
      </c>
      <c r="AM47" s="113" t="e">
        <f>Y47</f>
        <v>#N/A</v>
      </c>
      <c r="AN47" s="137" t="e">
        <f>AL47*AM47</f>
        <v>#DIV/0!</v>
      </c>
      <c r="AO47" s="122"/>
      <c r="AP47" s="115" t="e">
        <f ca="1">Lähtötiedot!$K$16*AN47</f>
        <v>#N/A</v>
      </c>
      <c r="AQ47" s="122"/>
      <c r="AR47" s="301"/>
      <c r="AS47" s="122"/>
      <c r="AW47" s="122"/>
      <c r="AX47" s="209">
        <f>AJ47</f>
        <v>15</v>
      </c>
      <c r="AY47" s="91">
        <f>AK47</f>
        <v>0</v>
      </c>
      <c r="AZ47" s="113" t="e">
        <f>(AX48-AX47)/AY47</f>
        <v>#DIV/0!</v>
      </c>
      <c r="BA47" s="113" t="e">
        <f>AM47</f>
        <v>#N/A</v>
      </c>
      <c r="BB47" s="149" t="e">
        <f>AZ47*BA47</f>
        <v>#DIV/0!</v>
      </c>
      <c r="BC47" s="122"/>
      <c r="BD47" s="115" t="e">
        <f>$AY$9*BB47</f>
        <v>#DIV/0!</v>
      </c>
      <c r="BE47" s="122"/>
      <c r="BF47" s="122"/>
      <c r="BG47" s="122"/>
      <c r="BK47" s="122"/>
      <c r="BL47" s="209">
        <f>AX47</f>
        <v>15</v>
      </c>
      <c r="BM47" s="91">
        <f>AY47</f>
        <v>0</v>
      </c>
      <c r="BN47" s="113" t="e">
        <f>(BL48-BL47)/BM47</f>
        <v>#DIV/0!</v>
      </c>
      <c r="BO47" s="113" t="e">
        <f>BA47</f>
        <v>#N/A</v>
      </c>
      <c r="BP47" s="161" t="e">
        <f>BN47*BO47</f>
        <v>#DIV/0!</v>
      </c>
      <c r="BQ47" s="122"/>
      <c r="BR47" s="115" t="e">
        <f>BP47*Lähtötiedot!$S$16</f>
        <v>#DIV/0!</v>
      </c>
      <c r="BS47" s="122"/>
      <c r="BT47" s="122"/>
    </row>
    <row r="48" spans="1:75" x14ac:dyDescent="0.25">
      <c r="N48" s="43">
        <v>35</v>
      </c>
      <c r="O48" s="259">
        <v>0.1</v>
      </c>
      <c r="P48" s="260">
        <v>9.4499999999999993</v>
      </c>
      <c r="Q48" s="105"/>
      <c r="V48" s="209">
        <v>25</v>
      </c>
      <c r="W48" s="91">
        <f>E42</f>
        <v>0</v>
      </c>
      <c r="X48" s="113" t="e">
        <f>(V49-V48)/W48</f>
        <v>#DIV/0!</v>
      </c>
      <c r="Y48" s="113" t="e">
        <f>G42</f>
        <v>#N/A</v>
      </c>
      <c r="Z48" s="137" t="e">
        <f>X48*Y48</f>
        <v>#DIV/0!</v>
      </c>
      <c r="AA48" s="122"/>
      <c r="AB48" s="115" t="e">
        <f ca="1">Lähtötiedot!$G$16*Z48</f>
        <v>#N/A</v>
      </c>
      <c r="AC48" s="122"/>
      <c r="AJ48" s="209">
        <v>25</v>
      </c>
      <c r="AK48" s="91">
        <f>W48</f>
        <v>0</v>
      </c>
      <c r="AL48" s="113" t="e">
        <f>(AJ49-AJ48)/AK48</f>
        <v>#DIV/0!</v>
      </c>
      <c r="AM48" s="113" t="e">
        <f>Y48</f>
        <v>#N/A</v>
      </c>
      <c r="AN48" s="137" t="e">
        <f>AL48*AM48</f>
        <v>#DIV/0!</v>
      </c>
      <c r="AO48" s="122"/>
      <c r="AP48" s="115" t="e">
        <f ca="1">Lähtötiedot!$K$16*AN48</f>
        <v>#N/A</v>
      </c>
      <c r="AQ48" s="122"/>
      <c r="AR48" s="122"/>
      <c r="AS48" s="122"/>
      <c r="AW48" s="122"/>
      <c r="AX48" s="209">
        <v>25</v>
      </c>
      <c r="AY48" s="91">
        <f t="shared" ref="AY48:AY50" si="20">AK48</f>
        <v>0</v>
      </c>
      <c r="AZ48" s="113" t="e">
        <f>(AX49-AX48)/AY48</f>
        <v>#DIV/0!</v>
      </c>
      <c r="BA48" s="113" t="e">
        <f t="shared" ref="BA48:BA50" si="21">AM48</f>
        <v>#N/A</v>
      </c>
      <c r="BB48" s="149" t="e">
        <f>AZ48*BA48</f>
        <v>#DIV/0!</v>
      </c>
      <c r="BC48" s="122"/>
      <c r="BD48" s="115" t="e">
        <f t="shared" ref="BD48:BD52" si="22">$AY$9*BB48</f>
        <v>#DIV/0!</v>
      </c>
      <c r="BE48" s="122"/>
      <c r="BF48" s="122"/>
      <c r="BG48" s="122"/>
      <c r="BK48" s="122"/>
      <c r="BL48" s="209">
        <v>25</v>
      </c>
      <c r="BM48" s="91">
        <f t="shared" ref="BM48:BM50" si="23">AY48</f>
        <v>0</v>
      </c>
      <c r="BN48" s="113" t="e">
        <f>(BL49-BL48)/BM48</f>
        <v>#DIV/0!</v>
      </c>
      <c r="BO48" s="113" t="e">
        <f t="shared" ref="BO48:BO50" si="24">BA48</f>
        <v>#N/A</v>
      </c>
      <c r="BP48" s="161" t="e">
        <f>BN48*BO48</f>
        <v>#DIV/0!</v>
      </c>
      <c r="BQ48" s="122"/>
      <c r="BR48" s="115" t="e">
        <f>BP48*Lähtötiedot!$S$16</f>
        <v>#DIV/0!</v>
      </c>
      <c r="BS48" s="122"/>
      <c r="BT48" s="122"/>
    </row>
    <row r="49" spans="1:75" ht="18.75" x14ac:dyDescent="0.3">
      <c r="B49" s="300"/>
      <c r="C49" s="372" t="s">
        <v>169</v>
      </c>
      <c r="D49" s="372"/>
      <c r="E49" s="372"/>
      <c r="F49" s="122"/>
      <c r="G49" s="122"/>
      <c r="H49" s="122"/>
      <c r="I49" s="122"/>
      <c r="J49" s="122"/>
      <c r="N49" s="43"/>
      <c r="O49" s="48">
        <v>0.2</v>
      </c>
      <c r="P49" s="144">
        <v>13</v>
      </c>
      <c r="Q49" s="105"/>
      <c r="V49" s="209">
        <v>35</v>
      </c>
      <c r="W49" s="91">
        <f>E43</f>
        <v>0</v>
      </c>
      <c r="X49" s="113" t="e">
        <f>IF(V51&gt;V50,((V50-V49)/W49),IF(V51&lt;V50,((V51-V49)/W49)))</f>
        <v>#DIV/0!</v>
      </c>
      <c r="Y49" s="113" t="e">
        <f>G43</f>
        <v>#N/A</v>
      </c>
      <c r="Z49" s="137" t="e">
        <f>X49*Y49</f>
        <v>#DIV/0!</v>
      </c>
      <c r="AA49" s="122"/>
      <c r="AB49" s="115" t="e">
        <f ca="1">Lähtötiedot!$G$16*Z49</f>
        <v>#N/A</v>
      </c>
      <c r="AC49" s="122"/>
      <c r="AJ49" s="209">
        <v>35</v>
      </c>
      <c r="AK49" s="91">
        <f>W49</f>
        <v>0</v>
      </c>
      <c r="AL49" s="113" t="e">
        <f>IF(AJ51&gt;AJ50,((AJ50-AJ49)/AK49),IF(AJ51&lt;AJ50,((AJ51-AJ49)/AK49)))</f>
        <v>#DIV/0!</v>
      </c>
      <c r="AM49" s="113" t="e">
        <f>Y49</f>
        <v>#N/A</v>
      </c>
      <c r="AN49" s="137" t="e">
        <f>AL49*AM49</f>
        <v>#DIV/0!</v>
      </c>
      <c r="AO49" s="122"/>
      <c r="AP49" s="115" t="e">
        <f ca="1">Lähtötiedot!$K$16*AN49</f>
        <v>#N/A</v>
      </c>
      <c r="AQ49" s="122"/>
      <c r="AR49" s="122"/>
      <c r="AS49" s="122"/>
      <c r="AW49" s="122"/>
      <c r="AX49" s="209">
        <v>35</v>
      </c>
      <c r="AY49" s="91">
        <f t="shared" si="20"/>
        <v>0</v>
      </c>
      <c r="AZ49" s="113" t="e">
        <f>IF(AX51&gt;AX50,((AX50-AX49)/AY49),IF(AX51&lt;AX50,((AX51-AX49)/AY49)))</f>
        <v>#DIV/0!</v>
      </c>
      <c r="BA49" s="113" t="e">
        <f t="shared" si="21"/>
        <v>#N/A</v>
      </c>
      <c r="BB49" s="149" t="e">
        <f>AZ49*BA49</f>
        <v>#DIV/0!</v>
      </c>
      <c r="BC49" s="122"/>
      <c r="BD49" s="115" t="e">
        <f t="shared" si="22"/>
        <v>#DIV/0!</v>
      </c>
      <c r="BE49" s="122"/>
      <c r="BF49" s="122"/>
      <c r="BG49" s="122"/>
      <c r="BK49" s="122"/>
      <c r="BL49" s="209">
        <v>35</v>
      </c>
      <c r="BM49" s="91">
        <f t="shared" si="23"/>
        <v>0</v>
      </c>
      <c r="BN49" s="113" t="e">
        <f>IF(BL51&gt;BL50,((BL50-BL49)/BM49),IF(BL51&lt;BL50,((BL51-BL49)/BM49)))</f>
        <v>#DIV/0!</v>
      </c>
      <c r="BO49" s="113" t="e">
        <f t="shared" si="24"/>
        <v>#N/A</v>
      </c>
      <c r="BP49" s="161" t="e">
        <f>BN49*BO49</f>
        <v>#DIV/0!</v>
      </c>
      <c r="BQ49" s="122"/>
      <c r="BR49" s="115" t="e">
        <f>BP49*Lähtötiedot!$S$16</f>
        <v>#DIV/0!</v>
      </c>
      <c r="BS49" s="122"/>
      <c r="BT49" s="122"/>
    </row>
    <row r="50" spans="1:75" ht="31.5" x14ac:dyDescent="0.25">
      <c r="D50" s="209" t="s">
        <v>90</v>
      </c>
      <c r="E50" s="187" t="s">
        <v>264</v>
      </c>
      <c r="F50" s="188" t="s">
        <v>92</v>
      </c>
      <c r="G50" s="209" t="s">
        <v>84</v>
      </c>
      <c r="H50" s="187" t="s">
        <v>93</v>
      </c>
      <c r="I50" s="122"/>
      <c r="J50" s="186" t="s">
        <v>170</v>
      </c>
      <c r="N50" s="43"/>
      <c r="O50" s="48">
        <v>0.3</v>
      </c>
      <c r="P50" s="144">
        <v>16.600000000000001</v>
      </c>
      <c r="Q50" s="105"/>
      <c r="V50" s="209">
        <v>45</v>
      </c>
      <c r="W50" s="91">
        <f>E44</f>
        <v>0</v>
      </c>
      <c r="X50" s="113">
        <f>IF(V51&gt;45,(V51-V50)/W50,0)</f>
        <v>0</v>
      </c>
      <c r="Y50" s="113" t="e">
        <f>G44</f>
        <v>#N/A</v>
      </c>
      <c r="Z50" s="137" t="e">
        <f>X50*Y50</f>
        <v>#N/A</v>
      </c>
      <c r="AA50" s="122"/>
      <c r="AB50" s="115" t="e">
        <f ca="1">Lähtötiedot!$G$16*Z50</f>
        <v>#N/A</v>
      </c>
      <c r="AC50" s="122"/>
      <c r="AJ50" s="209">
        <v>45</v>
      </c>
      <c r="AK50" s="91">
        <f>W50</f>
        <v>0</v>
      </c>
      <c r="AL50" s="113">
        <f>IF(AJ51&gt;45,(AJ51-AJ50)/AK50,0)</f>
        <v>0</v>
      </c>
      <c r="AM50" s="113" t="e">
        <f>Y50</f>
        <v>#N/A</v>
      </c>
      <c r="AN50" s="137" t="e">
        <f>AL50*AM50</f>
        <v>#N/A</v>
      </c>
      <c r="AO50" s="122"/>
      <c r="AP50" s="115" t="e">
        <f ca="1">Lähtötiedot!$K$16*AN50</f>
        <v>#N/A</v>
      </c>
      <c r="AQ50" s="122"/>
      <c r="AR50" s="122"/>
      <c r="AS50" s="122"/>
      <c r="AW50" s="122"/>
      <c r="AX50" s="209">
        <v>45</v>
      </c>
      <c r="AY50" s="91">
        <f t="shared" si="20"/>
        <v>0</v>
      </c>
      <c r="AZ50" s="113">
        <f>IF(AX51&gt;45,(AX51-AX50)/AY50,0)</f>
        <v>0</v>
      </c>
      <c r="BA50" s="113" t="e">
        <f t="shared" si="21"/>
        <v>#N/A</v>
      </c>
      <c r="BB50" s="149" t="e">
        <f>AZ50*BA50</f>
        <v>#N/A</v>
      </c>
      <c r="BC50" s="122"/>
      <c r="BD50" s="115" t="e">
        <f t="shared" si="22"/>
        <v>#N/A</v>
      </c>
      <c r="BE50" s="122"/>
      <c r="BF50" s="122"/>
      <c r="BG50" s="122"/>
      <c r="BK50" s="122"/>
      <c r="BL50" s="209">
        <v>45</v>
      </c>
      <c r="BM50" s="91">
        <f t="shared" si="23"/>
        <v>0</v>
      </c>
      <c r="BN50" s="113">
        <f>IF(BL51&gt;45,(BL51-BL50)/BM50,0)</f>
        <v>0</v>
      </c>
      <c r="BO50" s="113" t="e">
        <f t="shared" si="24"/>
        <v>#N/A</v>
      </c>
      <c r="BP50" s="161" t="e">
        <f>BN50*BO50</f>
        <v>#N/A</v>
      </c>
      <c r="BQ50" s="122"/>
      <c r="BR50" s="115" t="e">
        <f>BP50*Lähtötiedot!$S$16</f>
        <v>#N/A</v>
      </c>
      <c r="BS50" s="122"/>
      <c r="BT50" s="122"/>
    </row>
    <row r="51" spans="1:75" x14ac:dyDescent="0.25">
      <c r="D51" s="209">
        <v>15</v>
      </c>
      <c r="E51" s="438"/>
      <c r="F51" s="141" t="e">
        <f>(D52-D51)/E51</f>
        <v>#DIV/0!</v>
      </c>
      <c r="G51" s="113" t="e">
        <f>VLOOKUP(E32,Kasvuapu!C4:D55,2)</f>
        <v>#N/A</v>
      </c>
      <c r="H51" s="142" t="e">
        <f>F51*G51</f>
        <v>#DIV/0!</v>
      </c>
      <c r="I51" s="122"/>
      <c r="J51" s="136" t="e">
        <f>H51*Lähtötiedot!C18</f>
        <v>#DIV/0!</v>
      </c>
      <c r="N51" s="43"/>
      <c r="O51" s="48">
        <v>0.4</v>
      </c>
      <c r="P51" s="144">
        <v>20.2</v>
      </c>
      <c r="Q51" s="105"/>
      <c r="V51" s="209">
        <f>D45</f>
        <v>0</v>
      </c>
      <c r="W51" s="91"/>
      <c r="X51" s="137"/>
      <c r="Y51" s="113"/>
      <c r="Z51" s="137"/>
      <c r="AA51" s="122"/>
      <c r="AB51" s="115" t="e">
        <f ca="1">Lähtötiedot!$G$16*Z51</f>
        <v>#N/A</v>
      </c>
      <c r="AC51" s="122"/>
      <c r="AJ51" s="209">
        <f>V51</f>
        <v>0</v>
      </c>
      <c r="AK51" s="91"/>
      <c r="AL51" s="137"/>
      <c r="AM51" s="113"/>
      <c r="AN51" s="137"/>
      <c r="AO51" s="122"/>
      <c r="AP51" s="115" t="e">
        <f ca="1">Lähtötiedot!$K$16*AN51</f>
        <v>#N/A</v>
      </c>
      <c r="AQ51" s="122"/>
      <c r="AR51" s="122"/>
      <c r="AS51" s="122"/>
      <c r="AW51" s="122"/>
      <c r="AX51" s="209">
        <f>AJ51</f>
        <v>0</v>
      </c>
      <c r="AY51" s="91"/>
      <c r="AZ51" s="149"/>
      <c r="BA51" s="113">
        <f>G45</f>
        <v>0</v>
      </c>
      <c r="BB51" s="149"/>
      <c r="BC51" s="122"/>
      <c r="BD51" s="115">
        <f t="shared" si="22"/>
        <v>0</v>
      </c>
      <c r="BE51" s="122"/>
      <c r="BF51" s="122"/>
      <c r="BG51" s="122"/>
      <c r="BK51" s="122"/>
      <c r="BL51" s="209">
        <f>AX51</f>
        <v>0</v>
      </c>
      <c r="BM51" s="91"/>
      <c r="BN51" s="161"/>
      <c r="BO51" s="113">
        <f>G45</f>
        <v>0</v>
      </c>
      <c r="BP51" s="161"/>
      <c r="BQ51" s="122"/>
      <c r="BR51" s="115">
        <f>BP51*Lähtötiedot!$S$16</f>
        <v>0</v>
      </c>
      <c r="BS51" s="122"/>
      <c r="BT51" s="122"/>
    </row>
    <row r="52" spans="1:75" x14ac:dyDescent="0.25">
      <c r="D52" s="209">
        <f>IF(D53&gt;25,25,IF(D53&lt;=25,D53))</f>
        <v>0</v>
      </c>
      <c r="E52" s="437"/>
      <c r="F52" s="141" t="e">
        <f>(D53-D52)/E52</f>
        <v>#DIV/0!</v>
      </c>
      <c r="G52" s="113" t="e">
        <f>VLOOKUP(E33,Kasvuapu!G5:H56,2)</f>
        <v>#N/A</v>
      </c>
      <c r="H52" s="142" t="e">
        <f>F52*G52</f>
        <v>#DIV/0!</v>
      </c>
      <c r="I52" s="122"/>
      <c r="J52" s="136" t="e">
        <f>H52*Lähtötiedot!C18</f>
        <v>#DIV/0!</v>
      </c>
      <c r="N52" s="43"/>
      <c r="O52" s="48">
        <v>0.5</v>
      </c>
      <c r="P52" s="144">
        <v>23.7</v>
      </c>
      <c r="Q52" s="105"/>
      <c r="V52" s="157" t="s">
        <v>67</v>
      </c>
      <c r="W52" s="91"/>
      <c r="X52" s="137" t="e">
        <f>F46</f>
        <v>#DIV/0!</v>
      </c>
      <c r="Y52" s="246">
        <f>G46</f>
        <v>6.3</v>
      </c>
      <c r="Z52" s="137" t="e">
        <f>X52*Y52</f>
        <v>#DIV/0!</v>
      </c>
      <c r="AA52" s="122"/>
      <c r="AB52" s="115" t="e">
        <f ca="1">Lähtötiedot!$G$16*Z52</f>
        <v>#N/A</v>
      </c>
      <c r="AC52" s="122"/>
      <c r="AJ52" s="157" t="s">
        <v>67</v>
      </c>
      <c r="AK52" s="91"/>
      <c r="AL52" s="137" t="e">
        <f>X52</f>
        <v>#DIV/0!</v>
      </c>
      <c r="AM52" s="91">
        <f>Y52</f>
        <v>6.3</v>
      </c>
      <c r="AN52" s="137" t="e">
        <f>AL52*AM52</f>
        <v>#DIV/0!</v>
      </c>
      <c r="AO52" s="122"/>
      <c r="AP52" s="115" t="e">
        <f ca="1">Lähtötiedot!$K$16*AN52</f>
        <v>#N/A</v>
      </c>
      <c r="AQ52" s="122"/>
      <c r="AR52" s="122"/>
      <c r="AS52" s="122"/>
      <c r="AW52" s="122"/>
      <c r="AX52" s="157" t="s">
        <v>67</v>
      </c>
      <c r="AY52" s="91"/>
      <c r="AZ52" s="149" t="e">
        <f>AL52</f>
        <v>#DIV/0!</v>
      </c>
      <c r="BA52" s="113">
        <f>AM52</f>
        <v>6.3</v>
      </c>
      <c r="BB52" s="149" t="e">
        <f>AZ52*BA52</f>
        <v>#DIV/0!</v>
      </c>
      <c r="BC52" s="122"/>
      <c r="BD52" s="115" t="e">
        <f t="shared" si="22"/>
        <v>#DIV/0!</v>
      </c>
      <c r="BE52" s="122"/>
      <c r="BF52" s="122"/>
      <c r="BG52" s="122"/>
      <c r="BK52" s="122"/>
      <c r="BL52" s="157" t="s">
        <v>67</v>
      </c>
      <c r="BM52" s="91"/>
      <c r="BN52" s="161" t="e">
        <f>AZ52</f>
        <v>#DIV/0!</v>
      </c>
      <c r="BO52" s="113">
        <f>G46</f>
        <v>6.3</v>
      </c>
      <c r="BP52" s="161" t="e">
        <f>BN52*BO52</f>
        <v>#DIV/0!</v>
      </c>
      <c r="BQ52" s="122"/>
      <c r="BR52" s="115" t="e">
        <f>BP52*Lähtötiedot!$S$16</f>
        <v>#DIV/0!</v>
      </c>
      <c r="BS52" s="122"/>
      <c r="BT52" s="122"/>
    </row>
    <row r="53" spans="1:75" x14ac:dyDescent="0.25">
      <c r="D53" s="439"/>
      <c r="E53" s="110"/>
      <c r="F53" s="344" t="e">
        <f>F51+F52</f>
        <v>#DIV/0!</v>
      </c>
      <c r="G53" s="110"/>
      <c r="H53" s="344"/>
      <c r="I53" s="122"/>
      <c r="J53" s="178" t="e">
        <f>SUM(J51:J52)</f>
        <v>#DIV/0!</v>
      </c>
      <c r="N53" s="43">
        <v>45</v>
      </c>
      <c r="O53" s="259">
        <v>0.1</v>
      </c>
      <c r="P53" s="260">
        <v>11.466666666666701</v>
      </c>
      <c r="Q53" s="122"/>
      <c r="V53" s="210" t="s">
        <v>85</v>
      </c>
      <c r="W53" s="110"/>
      <c r="X53" s="114" t="e">
        <f>SUM(X47:X52)+Lähtötiedot!G21</f>
        <v>#DIV/0!</v>
      </c>
      <c r="Y53" s="110"/>
      <c r="Z53" s="138" t="e">
        <f>SUM(Z47:Z50)</f>
        <v>#DIV/0!</v>
      </c>
      <c r="AA53" s="122"/>
      <c r="AB53" s="148" t="e">
        <f ca="1">Lähtötiedot!$G$16*Z53</f>
        <v>#N/A</v>
      </c>
      <c r="AC53" s="122"/>
      <c r="AJ53" s="210" t="s">
        <v>85</v>
      </c>
      <c r="AK53" s="110"/>
      <c r="AL53" s="114" t="e">
        <f>X53</f>
        <v>#DIV/0!</v>
      </c>
      <c r="AM53" s="110"/>
      <c r="AN53" s="138" t="e">
        <f>SUM(AN47:AN50)</f>
        <v>#DIV/0!</v>
      </c>
      <c r="AO53" s="122"/>
      <c r="AP53" s="148" t="e">
        <f ca="1">SUM(AP47:AP52)</f>
        <v>#N/A</v>
      </c>
      <c r="AQ53" s="122"/>
      <c r="AR53" s="122"/>
      <c r="AS53" s="122"/>
      <c r="AW53" s="122"/>
      <c r="AX53" s="210" t="s">
        <v>85</v>
      </c>
      <c r="AY53" s="110"/>
      <c r="AZ53" s="114" t="e">
        <f>AL53</f>
        <v>#DIV/0!</v>
      </c>
      <c r="BA53" s="110"/>
      <c r="BB53" s="150" t="e">
        <f>SUM(BB47:BB50)</f>
        <v>#DIV/0!</v>
      </c>
      <c r="BC53" s="122"/>
      <c r="BD53" s="148" t="e">
        <f>SUM(BD47:BD52)</f>
        <v>#DIV/0!</v>
      </c>
      <c r="BE53" s="122"/>
      <c r="BF53" s="122"/>
      <c r="BG53" s="122"/>
      <c r="BK53" s="122"/>
      <c r="BL53" s="210" t="s">
        <v>85</v>
      </c>
      <c r="BM53" s="110"/>
      <c r="BN53" s="114" t="e">
        <f>AZ53</f>
        <v>#DIV/0!</v>
      </c>
      <c r="BO53" s="110"/>
      <c r="BP53" s="162" t="e">
        <f>SUM(BP47:BP50)</f>
        <v>#DIV/0!</v>
      </c>
      <c r="BQ53" s="122"/>
      <c r="BR53" s="148" t="e">
        <f>SUM(BR47:BR52)</f>
        <v>#DIV/0!</v>
      </c>
      <c r="BS53" s="122"/>
      <c r="BT53" s="122"/>
    </row>
    <row r="54" spans="1:75" x14ac:dyDescent="0.25">
      <c r="N54" s="43"/>
      <c r="O54" s="48">
        <v>0.2</v>
      </c>
      <c r="P54" s="144">
        <v>15.9</v>
      </c>
      <c r="V54" s="122"/>
      <c r="W54" s="122"/>
      <c r="X54" s="122"/>
      <c r="Y54" s="122"/>
      <c r="Z54" s="122"/>
      <c r="AA54" s="122"/>
      <c r="AB54" s="122"/>
      <c r="AC54" s="122"/>
      <c r="AQ54" s="122"/>
      <c r="AR54" s="122"/>
      <c r="AS54" s="122"/>
      <c r="AW54" s="122"/>
      <c r="AX54" s="122"/>
      <c r="AY54" s="122"/>
      <c r="AZ54" s="122"/>
      <c r="BA54" s="122"/>
      <c r="BB54" s="122"/>
      <c r="BC54" s="122"/>
      <c r="BD54" s="122"/>
      <c r="BE54" s="122"/>
      <c r="BF54" s="122"/>
      <c r="BG54" s="122"/>
      <c r="BK54" s="122"/>
      <c r="BL54" s="122"/>
      <c r="BM54" s="122"/>
      <c r="BN54" s="122"/>
      <c r="BO54" s="122"/>
      <c r="BP54" s="122"/>
      <c r="BQ54" s="122"/>
      <c r="BR54" s="122"/>
      <c r="BS54" s="122"/>
      <c r="BT54" s="122"/>
    </row>
    <row r="55" spans="1:75" s="122" customFormat="1" ht="18.75" x14ac:dyDescent="0.3">
      <c r="A55" s="308"/>
      <c r="C55"/>
      <c r="E55" s="131"/>
      <c r="F55" s="131"/>
      <c r="G55" s="131"/>
      <c r="H55" s="131"/>
      <c r="I55" s="131"/>
      <c r="J55" s="131"/>
      <c r="N55" s="43"/>
      <c r="O55" s="48">
        <v>0.3</v>
      </c>
      <c r="P55" s="144">
        <v>20.399999999999999</v>
      </c>
      <c r="R55" s="308"/>
      <c r="S55" s="311"/>
      <c r="T55" s="300"/>
      <c r="U55" s="300" t="s">
        <v>230</v>
      </c>
      <c r="AF55" s="311"/>
      <c r="AG55" s="308"/>
      <c r="AH55" s="300"/>
      <c r="AI55" s="300" t="s">
        <v>230</v>
      </c>
      <c r="AT55" s="308"/>
      <c r="AU55" s="311"/>
      <c r="AW55" s="300" t="s">
        <v>230</v>
      </c>
      <c r="BH55" s="311"/>
      <c r="BI55" s="308"/>
      <c r="BK55" s="300" t="s">
        <v>230</v>
      </c>
      <c r="BV55" s="308"/>
      <c r="BW55" s="311"/>
    </row>
    <row r="56" spans="1:75" s="122" customFormat="1" ht="31.5" thickBot="1" x14ac:dyDescent="0.35">
      <c r="A56" s="308"/>
      <c r="B56" s="300"/>
      <c r="C56" s="300" t="s">
        <v>230</v>
      </c>
      <c r="D56"/>
      <c r="E56"/>
      <c r="F56"/>
      <c r="G56"/>
      <c r="H56"/>
      <c r="I56"/>
      <c r="J56"/>
      <c r="N56" s="45"/>
      <c r="O56" s="49">
        <v>0.4</v>
      </c>
      <c r="P56" s="145">
        <v>24.8</v>
      </c>
      <c r="R56" s="308"/>
      <c r="S56" s="311"/>
      <c r="V56" s="209" t="s">
        <v>90</v>
      </c>
      <c r="W56" s="187" t="s">
        <v>84</v>
      </c>
      <c r="X56" s="188" t="s">
        <v>232</v>
      </c>
      <c r="Y56" s="209" t="s">
        <v>84</v>
      </c>
      <c r="Z56" s="187" t="s">
        <v>233</v>
      </c>
      <c r="AB56" s="186" t="s">
        <v>231</v>
      </c>
      <c r="AF56" s="311"/>
      <c r="AG56" s="308"/>
      <c r="AJ56" s="209" t="s">
        <v>90</v>
      </c>
      <c r="AK56" s="187" t="s">
        <v>84</v>
      </c>
      <c r="AL56" s="188" t="s">
        <v>232</v>
      </c>
      <c r="AM56" s="209" t="s">
        <v>84</v>
      </c>
      <c r="AN56" s="187" t="s">
        <v>233</v>
      </c>
      <c r="AP56" s="186" t="s">
        <v>231</v>
      </c>
      <c r="AT56" s="308"/>
      <c r="AU56" s="311"/>
      <c r="AX56" s="209" t="s">
        <v>90</v>
      </c>
      <c r="AY56" s="187" t="s">
        <v>84</v>
      </c>
      <c r="AZ56" s="188" t="s">
        <v>232</v>
      </c>
      <c r="BA56" s="209" t="s">
        <v>84</v>
      </c>
      <c r="BB56" s="187" t="s">
        <v>233</v>
      </c>
      <c r="BD56" s="186" t="s">
        <v>231</v>
      </c>
      <c r="BH56" s="311"/>
      <c r="BI56" s="308"/>
      <c r="BL56" s="209" t="s">
        <v>90</v>
      </c>
      <c r="BM56" s="187" t="s">
        <v>84</v>
      </c>
      <c r="BN56" s="188" t="s">
        <v>232</v>
      </c>
      <c r="BO56" s="209" t="s">
        <v>84</v>
      </c>
      <c r="BP56" s="187" t="s">
        <v>233</v>
      </c>
      <c r="BR56" s="186" t="s">
        <v>231</v>
      </c>
      <c r="BV56" s="308"/>
      <c r="BW56" s="311"/>
    </row>
    <row r="57" spans="1:75" s="122" customFormat="1" ht="30" x14ac:dyDescent="0.25">
      <c r="A57" s="308"/>
      <c r="D57" s="209" t="s">
        <v>90</v>
      </c>
      <c r="E57" s="187" t="s">
        <v>84</v>
      </c>
      <c r="F57" s="188" t="s">
        <v>232</v>
      </c>
      <c r="G57" s="209" t="s">
        <v>84</v>
      </c>
      <c r="H57" s="187" t="s">
        <v>233</v>
      </c>
      <c r="J57" s="186" t="s">
        <v>231</v>
      </c>
      <c r="R57" s="308"/>
      <c r="S57" s="311"/>
      <c r="V57" s="209">
        <f>D58</f>
        <v>0</v>
      </c>
      <c r="W57" s="113" t="e">
        <f>E58</f>
        <v>#N/A</v>
      </c>
      <c r="X57" s="113">
        <f>F58</f>
        <v>6.3</v>
      </c>
      <c r="Y57" s="113" t="e">
        <f>G58</f>
        <v>#N/A</v>
      </c>
      <c r="Z57" s="113" t="e">
        <f>H58</f>
        <v>#N/A</v>
      </c>
      <c r="AB57" s="148" t="e">
        <f ca="1">Z57*Lähtötiedot!G26</f>
        <v>#N/A</v>
      </c>
      <c r="AF57" s="311"/>
      <c r="AG57" s="308"/>
      <c r="AJ57" s="209">
        <f>V57</f>
        <v>0</v>
      </c>
      <c r="AK57" s="113" t="e">
        <f>W57</f>
        <v>#N/A</v>
      </c>
      <c r="AL57" s="113">
        <f>X57</f>
        <v>6.3</v>
      </c>
      <c r="AM57" s="113" t="e">
        <f>Y57</f>
        <v>#N/A</v>
      </c>
      <c r="AN57" s="113" t="e">
        <f>Z57</f>
        <v>#N/A</v>
      </c>
      <c r="AP57" s="148" t="e">
        <f ca="1">AN57*Lähtötiedot!K27</f>
        <v>#N/A</v>
      </c>
      <c r="AT57" s="308"/>
      <c r="AU57" s="311"/>
      <c r="AX57" s="209">
        <f>AJ57</f>
        <v>0</v>
      </c>
      <c r="AY57" s="113" t="e">
        <f>AK57</f>
        <v>#N/A</v>
      </c>
      <c r="AZ57" s="113">
        <f>AL57</f>
        <v>6.3</v>
      </c>
      <c r="BA57" s="113" t="e">
        <f>AM57</f>
        <v>#N/A</v>
      </c>
      <c r="BB57" s="113" t="e">
        <f>AN57</f>
        <v>#N/A</v>
      </c>
      <c r="BD57" s="148" t="e">
        <f>BB57*Lähtötiedot!O26</f>
        <v>#N/A</v>
      </c>
      <c r="BH57" s="311"/>
      <c r="BI57" s="308"/>
      <c r="BL57" s="209">
        <f>AX57</f>
        <v>0</v>
      </c>
      <c r="BM57" s="113" t="e">
        <f>AY57</f>
        <v>#N/A</v>
      </c>
      <c r="BN57" s="113">
        <f>AZ57</f>
        <v>6.3</v>
      </c>
      <c r="BO57" s="113" t="e">
        <f>BA57</f>
        <v>#N/A</v>
      </c>
      <c r="BP57" s="113" t="e">
        <f>BB57</f>
        <v>#N/A</v>
      </c>
      <c r="BR57" s="148" t="e">
        <f ca="1">BP57*Lähtötiedot!S27</f>
        <v>#N/A</v>
      </c>
      <c r="BV57" s="308"/>
      <c r="BW57" s="311"/>
    </row>
    <row r="58" spans="1:75" s="122" customFormat="1" x14ac:dyDescent="0.25">
      <c r="A58" s="308"/>
      <c r="D58" s="424"/>
      <c r="E58" s="113" t="e">
        <f>VLOOKUP(D58,Kasvuapu!T4:U94,2)</f>
        <v>#N/A</v>
      </c>
      <c r="F58" s="91">
        <f>$P$32</f>
        <v>6.3</v>
      </c>
      <c r="G58" s="113" t="e">
        <f>E58+F58</f>
        <v>#N/A</v>
      </c>
      <c r="H58" s="113" t="e">
        <f>G58*365</f>
        <v>#N/A</v>
      </c>
      <c r="J58" s="148" t="e">
        <f>H58*Lähtötiedot!C26</f>
        <v>#N/A</v>
      </c>
      <c r="R58" s="308"/>
      <c r="S58" s="311"/>
      <c r="AF58" s="311"/>
      <c r="AG58" s="308"/>
      <c r="AT58" s="308"/>
      <c r="AU58" s="311"/>
      <c r="BH58" s="311"/>
      <c r="BI58" s="308"/>
      <c r="BV58" s="308"/>
      <c r="BW58" s="311"/>
    </row>
    <row r="59" spans="1:75" s="122" customFormat="1" x14ac:dyDescent="0.25">
      <c r="A59" s="308"/>
      <c r="R59" s="308"/>
      <c r="S59" s="311"/>
      <c r="AF59" s="311"/>
      <c r="AG59" s="308"/>
      <c r="AT59" s="308"/>
      <c r="AU59" s="311"/>
      <c r="BH59" s="311"/>
      <c r="BI59" s="308"/>
      <c r="BV59" s="308"/>
      <c r="BW59" s="311"/>
    </row>
    <row r="60" spans="1:75" s="122" customFormat="1" x14ac:dyDescent="0.25">
      <c r="A60" s="308"/>
      <c r="R60" s="308"/>
      <c r="S60" s="311"/>
      <c r="AF60" s="311"/>
      <c r="AG60" s="308"/>
      <c r="AT60" s="308"/>
      <c r="AU60" s="311"/>
      <c r="AV60" s="9"/>
      <c r="AW60" s="9"/>
      <c r="AX60" s="9"/>
      <c r="AY60" s="9"/>
      <c r="AZ60" s="9"/>
      <c r="BA60" s="9"/>
      <c r="BB60" s="9"/>
      <c r="BC60" s="9"/>
      <c r="BD60" s="9"/>
      <c r="BE60" s="9"/>
      <c r="BF60" s="9"/>
      <c r="BG60" s="9"/>
      <c r="BH60" s="473"/>
      <c r="BI60" s="474"/>
      <c r="BJ60" s="9"/>
      <c r="BK60" s="9"/>
      <c r="BL60" s="9"/>
      <c r="BM60" s="9"/>
      <c r="BN60" s="9"/>
      <c r="BO60" s="9"/>
      <c r="BP60" s="9"/>
      <c r="BQ60" s="9"/>
      <c r="BR60" s="9"/>
      <c r="BS60" s="9"/>
      <c r="BT60" s="9"/>
      <c r="BU60" s="9"/>
      <c r="BV60" s="308"/>
      <c r="BW60" s="311"/>
    </row>
    <row r="61" spans="1:75" ht="15.75" thickBot="1" x14ac:dyDescent="0.3">
      <c r="N61" s="122"/>
      <c r="V61" s="122"/>
      <c r="W61" s="122"/>
      <c r="X61" s="122"/>
      <c r="Y61" s="122"/>
      <c r="Z61" s="122"/>
      <c r="AA61" s="122"/>
      <c r="AB61" s="122"/>
      <c r="AC61" s="122"/>
      <c r="AQ61" s="122"/>
      <c r="AR61" s="122"/>
      <c r="AS61" s="122"/>
      <c r="AV61" s="9"/>
      <c r="AW61" s="9"/>
      <c r="AX61" s="9"/>
      <c r="AY61" s="9"/>
      <c r="AZ61" s="9"/>
      <c r="BA61" s="9"/>
      <c r="BB61" s="9"/>
      <c r="BC61" s="9"/>
      <c r="BD61" s="9"/>
      <c r="BE61" s="9"/>
      <c r="BF61" s="9"/>
      <c r="BG61" s="9"/>
      <c r="BH61" s="473"/>
      <c r="BI61" s="474"/>
      <c r="BJ61" s="9"/>
      <c r="BK61" s="9"/>
      <c r="BL61" s="9"/>
      <c r="BM61" s="9"/>
      <c r="BN61" s="9"/>
      <c r="BO61" s="9"/>
      <c r="BP61" s="9"/>
      <c r="BQ61" s="9"/>
      <c r="BR61" s="9"/>
      <c r="BS61" s="9"/>
      <c r="BT61" s="9"/>
      <c r="BU61" s="9"/>
    </row>
    <row r="62" spans="1:75" ht="27" thickBot="1" x14ac:dyDescent="0.45">
      <c r="B62" s="130"/>
      <c r="C62" s="130"/>
      <c r="D62" s="368" t="s">
        <v>19</v>
      </c>
      <c r="E62" s="368"/>
      <c r="F62" s="368"/>
      <c r="G62" s="368"/>
      <c r="H62" s="368"/>
      <c r="I62" s="369"/>
      <c r="J62" s="370" t="e">
        <f>J28+J47+J37+J51+J58</f>
        <v>#N/A</v>
      </c>
      <c r="K62" s="371"/>
      <c r="L62" s="122"/>
      <c r="M62" s="122"/>
      <c r="N62" s="122"/>
      <c r="V62" s="122"/>
      <c r="W62" s="2"/>
      <c r="X62" s="2"/>
      <c r="Y62" s="2"/>
      <c r="Z62" s="2"/>
      <c r="AA62" s="139" t="s">
        <v>19</v>
      </c>
      <c r="AB62" s="353" t="e">
        <f ca="1">Y29+AB33+AB53+AB43+AB57</f>
        <v>#N/A</v>
      </c>
      <c r="AC62" s="354"/>
      <c r="AJ62" s="122"/>
      <c r="AK62" s="2"/>
      <c r="AL62" s="2"/>
      <c r="AM62" s="2"/>
      <c r="AN62" s="2"/>
      <c r="AO62" s="139" t="s">
        <v>19</v>
      </c>
      <c r="AP62" s="353" t="e">
        <f ca="1">AP29+AP33+AP53+AP43+AP57</f>
        <v>#N/A</v>
      </c>
      <c r="AQ62" s="354"/>
      <c r="AR62" s="122"/>
      <c r="AS62" s="122"/>
      <c r="AV62" s="9"/>
      <c r="AW62" s="9"/>
      <c r="AX62" s="9"/>
      <c r="AY62" s="2"/>
      <c r="AZ62" s="2"/>
      <c r="BA62" s="2"/>
      <c r="BB62" s="2"/>
      <c r="BC62" s="139" t="s">
        <v>19</v>
      </c>
      <c r="BD62" s="353" t="e">
        <f ca="1">BD29+BD33+BD53+BD43+BD57</f>
        <v>#N/A</v>
      </c>
      <c r="BE62" s="354"/>
      <c r="BF62" s="9"/>
      <c r="BG62" s="9"/>
      <c r="BH62" s="473"/>
      <c r="BI62" s="474"/>
      <c r="BJ62" s="9"/>
      <c r="BK62" s="9"/>
      <c r="BL62" s="9"/>
      <c r="BM62" s="2"/>
      <c r="BN62" s="2"/>
      <c r="BO62" s="2"/>
      <c r="BP62" s="2"/>
      <c r="BQ62" s="139" t="s">
        <v>19</v>
      </c>
      <c r="BR62" s="353" t="e">
        <f ca="1">BR53+BR43+BR33+BO29+BR57</f>
        <v>#DIV/0!</v>
      </c>
      <c r="BS62" s="354"/>
      <c r="BT62" s="9"/>
      <c r="BU62" s="9"/>
    </row>
    <row r="63" spans="1:75" ht="23.25" x14ac:dyDescent="0.35">
      <c r="C63" s="122"/>
      <c r="D63" s="132"/>
      <c r="E63" s="132"/>
      <c r="F63" s="132"/>
      <c r="G63" s="132"/>
      <c r="H63" s="132"/>
      <c r="I63" s="132"/>
      <c r="J63" s="122"/>
      <c r="K63" s="122"/>
      <c r="L63" s="122"/>
      <c r="M63" s="122"/>
      <c r="N63" s="122"/>
      <c r="AJ63" s="122"/>
      <c r="AK63" s="122"/>
      <c r="AL63" s="122"/>
      <c r="AM63" s="122"/>
      <c r="AN63" s="122"/>
      <c r="AO63" s="122"/>
      <c r="AP63" s="122"/>
      <c r="AQ63" s="122"/>
      <c r="AR63" s="122"/>
      <c r="AS63" s="122"/>
      <c r="AV63" s="9"/>
      <c r="AW63" s="9"/>
      <c r="AX63" s="9"/>
      <c r="AY63" s="9"/>
      <c r="AZ63" s="9"/>
      <c r="BA63" s="9"/>
      <c r="BB63" s="9"/>
      <c r="BC63" s="9"/>
      <c r="BD63" s="9"/>
      <c r="BE63" s="9"/>
      <c r="BF63" s="9"/>
      <c r="BG63" s="9"/>
      <c r="BH63" s="473"/>
      <c r="BI63" s="474"/>
      <c r="BJ63" s="9"/>
      <c r="BK63" s="9"/>
      <c r="BL63" s="9"/>
      <c r="BM63" s="9"/>
      <c r="BN63" s="9"/>
      <c r="BO63" s="9"/>
      <c r="BP63" s="9"/>
      <c r="BQ63" s="9"/>
      <c r="BR63" s="9"/>
      <c r="BS63" s="9"/>
      <c r="BT63" s="9"/>
      <c r="BU63" s="9"/>
    </row>
    <row r="64" spans="1:75" x14ac:dyDescent="0.25">
      <c r="C64" s="122"/>
      <c r="D64" s="122"/>
      <c r="E64" s="122"/>
      <c r="F64" s="122"/>
      <c r="G64" s="122"/>
      <c r="H64" s="122"/>
      <c r="I64" s="122"/>
      <c r="J64" s="122"/>
      <c r="K64" s="122"/>
      <c r="L64" s="122"/>
      <c r="M64" s="122"/>
      <c r="N64" s="122"/>
      <c r="AJ64" s="122"/>
      <c r="AK64" s="122"/>
      <c r="AL64" s="122"/>
      <c r="AM64" s="122"/>
      <c r="AN64" s="122"/>
      <c r="AO64" s="122"/>
      <c r="AP64" s="122"/>
      <c r="AQ64" s="122"/>
      <c r="AR64" s="122"/>
      <c r="AS64" s="122"/>
      <c r="AV64" s="9"/>
      <c r="AW64" s="9"/>
      <c r="AX64" s="9"/>
      <c r="AY64" s="9"/>
      <c r="AZ64" s="9"/>
      <c r="BA64" s="9"/>
      <c r="BB64" s="9"/>
      <c r="BC64" s="9"/>
      <c r="BD64" s="9"/>
      <c r="BE64" s="9"/>
      <c r="BF64" s="9"/>
      <c r="BG64" s="9"/>
      <c r="BH64" s="473"/>
      <c r="BI64" s="474"/>
      <c r="BJ64" s="9"/>
      <c r="BK64" s="9"/>
      <c r="BL64" s="9"/>
      <c r="BM64" s="9"/>
      <c r="BN64" s="9"/>
      <c r="BO64" s="9"/>
      <c r="BP64" s="9"/>
      <c r="BQ64" s="9"/>
      <c r="BR64" s="9"/>
      <c r="BS64" s="9"/>
      <c r="BT64" s="9"/>
      <c r="BU64" s="9"/>
    </row>
    <row r="65" spans="1:75" x14ac:dyDescent="0.25">
      <c r="C65" s="122"/>
      <c r="D65" s="122"/>
      <c r="E65" s="122"/>
      <c r="F65" s="122"/>
      <c r="G65" s="122"/>
      <c r="H65" s="122"/>
      <c r="I65" s="122"/>
      <c r="J65" s="122"/>
      <c r="K65" s="122"/>
      <c r="L65" s="122"/>
      <c r="M65" s="122"/>
      <c r="N65" s="122"/>
      <c r="AI65" s="122"/>
      <c r="AJ65" s="122"/>
      <c r="AK65" s="122"/>
      <c r="AL65" s="122"/>
      <c r="AM65" s="122"/>
      <c r="AN65" s="122"/>
      <c r="AO65" s="122"/>
      <c r="AP65" s="122"/>
      <c r="AQ65" s="122"/>
      <c r="AR65" s="122"/>
      <c r="AS65" s="122"/>
      <c r="AV65" s="9"/>
      <c r="AW65" s="9"/>
      <c r="AX65" s="9"/>
      <c r="AY65" s="9"/>
      <c r="AZ65" s="9"/>
      <c r="BA65" s="9"/>
      <c r="BB65" s="9"/>
      <c r="BC65" s="9"/>
      <c r="BD65" s="9"/>
      <c r="BE65" s="9"/>
      <c r="BF65" s="9"/>
      <c r="BG65" s="9"/>
      <c r="BH65" s="473"/>
      <c r="BI65" s="474"/>
      <c r="BJ65" s="9"/>
      <c r="BK65" s="9"/>
      <c r="BL65" s="9"/>
      <c r="BM65" s="9"/>
      <c r="BN65" s="9"/>
      <c r="BO65" s="9"/>
      <c r="BP65" s="9"/>
      <c r="BQ65" s="9"/>
      <c r="BR65" s="9"/>
      <c r="BS65" s="9"/>
      <c r="BT65" s="9"/>
      <c r="BU65" s="9"/>
    </row>
    <row r="66" spans="1:75" x14ac:dyDescent="0.25">
      <c r="B66" s="33"/>
      <c r="C66" s="33" t="s">
        <v>22</v>
      </c>
      <c r="D66" s="1"/>
      <c r="E66" s="2"/>
      <c r="F66" s="3"/>
      <c r="G66" s="3" t="s">
        <v>2</v>
      </c>
      <c r="H66" s="1"/>
      <c r="I66" s="1"/>
      <c r="J66" s="1"/>
      <c r="K66" s="1"/>
      <c r="L66" s="3" t="s">
        <v>2</v>
      </c>
      <c r="M66" s="122"/>
      <c r="N66" s="122"/>
      <c r="T66" s="33"/>
      <c r="U66" s="33" t="s">
        <v>22</v>
      </c>
      <c r="V66" s="1"/>
      <c r="W66" s="2"/>
      <c r="X66" s="3"/>
      <c r="Y66" s="3" t="s">
        <v>2</v>
      </c>
      <c r="Z66" s="1"/>
      <c r="AA66" s="1"/>
      <c r="AB66" s="1"/>
      <c r="AC66" s="1"/>
      <c r="AD66" s="3" t="s">
        <v>2</v>
      </c>
      <c r="AE66" s="3"/>
      <c r="AH66" s="33"/>
      <c r="AI66" s="33" t="s">
        <v>22</v>
      </c>
      <c r="AJ66" s="1"/>
      <c r="AK66" s="2"/>
      <c r="AL66" s="3"/>
      <c r="AM66" s="3" t="s">
        <v>2</v>
      </c>
      <c r="AN66" s="1"/>
      <c r="AO66" s="1"/>
      <c r="AP66" s="1"/>
      <c r="AQ66" s="1"/>
      <c r="AR66" s="3" t="s">
        <v>2</v>
      </c>
      <c r="AS66" s="122"/>
      <c r="AV66" s="9"/>
      <c r="AW66" s="33" t="s">
        <v>22</v>
      </c>
      <c r="AX66" s="1"/>
      <c r="AY66" s="2"/>
      <c r="AZ66" s="3"/>
      <c r="BA66" s="3" t="s">
        <v>2</v>
      </c>
      <c r="BB66" s="1"/>
      <c r="BC66" s="1"/>
      <c r="BD66" s="1"/>
      <c r="BE66" s="1"/>
      <c r="BF66" s="3" t="s">
        <v>2</v>
      </c>
      <c r="BG66" s="9"/>
      <c r="BH66" s="473"/>
      <c r="BI66" s="474"/>
      <c r="BJ66" s="9"/>
      <c r="BK66" s="33" t="s">
        <v>22</v>
      </c>
      <c r="BL66" s="1"/>
      <c r="BM66" s="2"/>
      <c r="BN66" s="3"/>
      <c r="BO66" s="3" t="s">
        <v>2</v>
      </c>
      <c r="BP66" s="1"/>
      <c r="BQ66" s="1"/>
      <c r="BR66" s="1"/>
      <c r="BS66" s="1"/>
      <c r="BT66" s="3" t="s">
        <v>2</v>
      </c>
      <c r="BU66" s="9"/>
    </row>
    <row r="67" spans="1:75" x14ac:dyDescent="0.25">
      <c r="B67" s="1"/>
      <c r="C67" s="1"/>
      <c r="D67" s="1"/>
      <c r="E67" s="3" t="s">
        <v>3</v>
      </c>
      <c r="F67" s="3" t="s">
        <v>4</v>
      </c>
      <c r="G67" s="4" t="s">
        <v>5</v>
      </c>
      <c r="H67" s="3"/>
      <c r="I67" s="5" t="s">
        <v>6</v>
      </c>
      <c r="J67" s="3"/>
      <c r="K67" s="6" t="s">
        <v>7</v>
      </c>
      <c r="L67" s="7" t="s">
        <v>8</v>
      </c>
      <c r="M67" s="122"/>
      <c r="T67" s="1"/>
      <c r="U67" s="1"/>
      <c r="V67" s="1"/>
      <c r="W67" s="3" t="s">
        <v>3</v>
      </c>
      <c r="X67" s="3" t="s">
        <v>4</v>
      </c>
      <c r="Y67" s="4" t="s">
        <v>5</v>
      </c>
      <c r="Z67" s="3"/>
      <c r="AA67" s="5" t="s">
        <v>6</v>
      </c>
      <c r="AB67" s="3"/>
      <c r="AC67" s="6" t="s">
        <v>7</v>
      </c>
      <c r="AD67" s="7" t="s">
        <v>8</v>
      </c>
      <c r="AE67" s="7"/>
      <c r="AH67" s="1"/>
      <c r="AI67" s="1"/>
      <c r="AJ67" s="1"/>
      <c r="AK67" s="3" t="s">
        <v>3</v>
      </c>
      <c r="AL67" s="3" t="s">
        <v>4</v>
      </c>
      <c r="AM67" s="4" t="s">
        <v>5</v>
      </c>
      <c r="AN67" s="3"/>
      <c r="AO67" s="5" t="s">
        <v>6</v>
      </c>
      <c r="AP67" s="3"/>
      <c r="AQ67" s="6" t="s">
        <v>7</v>
      </c>
      <c r="AR67" s="7" t="s">
        <v>8</v>
      </c>
      <c r="AS67" s="122"/>
      <c r="AV67" s="9"/>
      <c r="AW67" s="1"/>
      <c r="AX67" s="1"/>
      <c r="AY67" s="3" t="s">
        <v>3</v>
      </c>
      <c r="AZ67" s="3" t="s">
        <v>4</v>
      </c>
      <c r="BA67" s="4" t="s">
        <v>5</v>
      </c>
      <c r="BB67" s="3"/>
      <c r="BC67" s="5" t="s">
        <v>6</v>
      </c>
      <c r="BD67" s="3"/>
      <c r="BE67" s="6" t="s">
        <v>7</v>
      </c>
      <c r="BF67" s="7" t="s">
        <v>8</v>
      </c>
      <c r="BG67" s="9"/>
      <c r="BH67" s="473"/>
      <c r="BI67" s="474"/>
      <c r="BJ67" s="9"/>
      <c r="BK67" s="17"/>
      <c r="BL67" s="17"/>
      <c r="BM67" s="19" t="s">
        <v>3</v>
      </c>
      <c r="BN67" s="19" t="s">
        <v>4</v>
      </c>
      <c r="BO67" s="240" t="s">
        <v>5</v>
      </c>
      <c r="BP67" s="19"/>
      <c r="BQ67" s="237" t="s">
        <v>6</v>
      </c>
      <c r="BR67" s="19"/>
      <c r="BS67" s="238" t="s">
        <v>7</v>
      </c>
      <c r="BT67" s="20" t="s">
        <v>8</v>
      </c>
      <c r="BU67" s="9"/>
    </row>
    <row r="68" spans="1:75" x14ac:dyDescent="0.25">
      <c r="B68" s="1"/>
      <c r="C68" s="1"/>
      <c r="D68" s="216"/>
      <c r="E68" s="217"/>
      <c r="F68" s="218"/>
      <c r="G68" s="8">
        <f>E68*F68</f>
        <v>0</v>
      </c>
      <c r="H68" s="3"/>
      <c r="I68" s="218"/>
      <c r="J68" s="3"/>
      <c r="K68" s="8">
        <f t="shared" ref="K68:K74" si="25">F68*I68/1000</f>
        <v>0</v>
      </c>
      <c r="L68" s="8">
        <f t="shared" ref="L68:L74" si="26">K68*E68</f>
        <v>0</v>
      </c>
      <c r="M68" s="122"/>
      <c r="T68" s="1"/>
      <c r="U68" s="1"/>
      <c r="V68" s="225">
        <f t="shared" ref="V68:X74" si="27">D68</f>
        <v>0</v>
      </c>
      <c r="W68" s="226">
        <f t="shared" si="27"/>
        <v>0</v>
      </c>
      <c r="X68" s="227">
        <f t="shared" si="27"/>
        <v>0</v>
      </c>
      <c r="Y68" s="8">
        <f>W68*X68</f>
        <v>0</v>
      </c>
      <c r="Z68" s="3"/>
      <c r="AA68" s="227">
        <f t="shared" ref="AA68:AA74" si="28">I68</f>
        <v>0</v>
      </c>
      <c r="AB68" s="3"/>
      <c r="AC68" s="224">
        <f t="shared" ref="AC68:AC74" si="29">X68*AA68/1000</f>
        <v>0</v>
      </c>
      <c r="AD68" s="224">
        <f t="shared" ref="AD68:AD74" si="30">AC68*W68</f>
        <v>0</v>
      </c>
      <c r="AE68" s="315"/>
      <c r="AH68" s="1"/>
      <c r="AI68" s="1"/>
      <c r="AJ68" s="225">
        <f t="shared" ref="AJ68:AL74" si="31">D68</f>
        <v>0</v>
      </c>
      <c r="AK68" s="226">
        <f t="shared" si="31"/>
        <v>0</v>
      </c>
      <c r="AL68" s="227">
        <f t="shared" si="31"/>
        <v>0</v>
      </c>
      <c r="AM68" s="8">
        <f>AK68*AL68</f>
        <v>0</v>
      </c>
      <c r="AN68" s="3"/>
      <c r="AO68" s="227">
        <f t="shared" ref="AO68:AO74" si="32">I68</f>
        <v>0</v>
      </c>
      <c r="AP68" s="3"/>
      <c r="AQ68" s="224">
        <f t="shared" ref="AQ68:AQ74" si="33">AL68*AO68/1000</f>
        <v>0</v>
      </c>
      <c r="AR68" s="224">
        <f t="shared" ref="AR68:AR74" si="34">AQ68*AK68</f>
        <v>0</v>
      </c>
      <c r="AS68" s="122"/>
      <c r="AV68" s="9"/>
      <c r="AW68" s="1"/>
      <c r="AX68" s="428">
        <f t="shared" ref="AX68:AZ74" si="35">D68</f>
        <v>0</v>
      </c>
      <c r="AY68" s="429">
        <f>E68</f>
        <v>0</v>
      </c>
      <c r="AZ68" s="430">
        <f t="shared" si="35"/>
        <v>0</v>
      </c>
      <c r="BA68" s="8">
        <f>AY68*AZ68</f>
        <v>0</v>
      </c>
      <c r="BB68" s="19"/>
      <c r="BC68" s="431">
        <f t="shared" ref="BC68:BC74" si="36">I68</f>
        <v>0</v>
      </c>
      <c r="BD68" s="19"/>
      <c r="BE68" s="8">
        <f t="shared" ref="BE68:BE74" si="37">AZ68*BC68/1000</f>
        <v>0</v>
      </c>
      <c r="BF68" s="8">
        <f t="shared" ref="BF68:BF74" si="38">BE68*AY68</f>
        <v>0</v>
      </c>
      <c r="BG68" s="9"/>
      <c r="BH68" s="473"/>
      <c r="BI68" s="474"/>
      <c r="BJ68" s="9"/>
      <c r="BK68" s="17"/>
      <c r="BL68" s="428">
        <f>D68</f>
        <v>0</v>
      </c>
      <c r="BM68" s="432">
        <f>E68</f>
        <v>0</v>
      </c>
      <c r="BN68" s="431">
        <f>F68</f>
        <v>0</v>
      </c>
      <c r="BO68" s="8">
        <f>BM68*BN68</f>
        <v>0</v>
      </c>
      <c r="BP68" s="19"/>
      <c r="BQ68" s="431">
        <f>I68</f>
        <v>0</v>
      </c>
      <c r="BR68" s="19"/>
      <c r="BS68" s="8">
        <f t="shared" ref="BS68:BS74" si="39">BN68*BQ68/1000</f>
        <v>0</v>
      </c>
      <c r="BT68" s="8">
        <f t="shared" ref="BT68:BT74" si="40">BS68*BM68</f>
        <v>0</v>
      </c>
      <c r="BU68" s="9"/>
    </row>
    <row r="69" spans="1:75" s="37" customFormat="1" x14ac:dyDescent="0.25">
      <c r="A69" s="308"/>
      <c r="B69" s="1"/>
      <c r="C69" s="1"/>
      <c r="D69" s="216"/>
      <c r="E69" s="217"/>
      <c r="F69" s="218"/>
      <c r="G69" s="8">
        <f t="shared" ref="G69:G74" si="41">E69*F69</f>
        <v>0</v>
      </c>
      <c r="H69" s="3"/>
      <c r="I69" s="218"/>
      <c r="J69" s="3"/>
      <c r="K69" s="8">
        <f t="shared" si="25"/>
        <v>0</v>
      </c>
      <c r="L69" s="8">
        <f t="shared" si="26"/>
        <v>0</v>
      </c>
      <c r="M69" s="122"/>
      <c r="R69" s="308"/>
      <c r="S69" s="311"/>
      <c r="T69" s="1"/>
      <c r="U69" s="1"/>
      <c r="V69" s="225">
        <f t="shared" si="27"/>
        <v>0</v>
      </c>
      <c r="W69" s="226">
        <f t="shared" si="27"/>
        <v>0</v>
      </c>
      <c r="X69" s="227">
        <f t="shared" si="27"/>
        <v>0</v>
      </c>
      <c r="Y69" s="8">
        <f t="shared" ref="Y69:Y70" si="42">W69*X69</f>
        <v>0</v>
      </c>
      <c r="Z69" s="3"/>
      <c r="AA69" s="227">
        <f t="shared" si="28"/>
        <v>0</v>
      </c>
      <c r="AB69" s="3"/>
      <c r="AC69" s="224">
        <f t="shared" si="29"/>
        <v>0</v>
      </c>
      <c r="AD69" s="224">
        <f t="shared" si="30"/>
        <v>0</v>
      </c>
      <c r="AE69" s="315"/>
      <c r="AF69" s="311"/>
      <c r="AG69" s="308"/>
      <c r="AH69" s="1"/>
      <c r="AI69" s="1"/>
      <c r="AJ69" s="225">
        <f t="shared" si="31"/>
        <v>0</v>
      </c>
      <c r="AK69" s="226">
        <f t="shared" si="31"/>
        <v>0</v>
      </c>
      <c r="AL69" s="227">
        <f t="shared" si="31"/>
        <v>0</v>
      </c>
      <c r="AM69" s="8">
        <f t="shared" ref="AM69:AM70" si="43">AK69*AL69</f>
        <v>0</v>
      </c>
      <c r="AN69" s="3"/>
      <c r="AO69" s="227">
        <f t="shared" si="32"/>
        <v>0</v>
      </c>
      <c r="AP69" s="3"/>
      <c r="AQ69" s="224">
        <f t="shared" si="33"/>
        <v>0</v>
      </c>
      <c r="AR69" s="224">
        <f t="shared" si="34"/>
        <v>0</v>
      </c>
      <c r="AS69" s="122"/>
      <c r="AT69" s="308"/>
      <c r="AU69" s="311"/>
      <c r="AV69" s="9"/>
      <c r="AW69" s="1"/>
      <c r="AX69" s="428">
        <f t="shared" si="35"/>
        <v>0</v>
      </c>
      <c r="AY69" s="429">
        <f t="shared" ref="AY69:AY74" si="44">E69</f>
        <v>0</v>
      </c>
      <c r="AZ69" s="430">
        <f t="shared" si="35"/>
        <v>0</v>
      </c>
      <c r="BA69" s="8">
        <f t="shared" ref="BA69:BA70" si="45">AY69*AZ69</f>
        <v>0</v>
      </c>
      <c r="BB69" s="19"/>
      <c r="BC69" s="431">
        <f t="shared" si="36"/>
        <v>0</v>
      </c>
      <c r="BD69" s="19"/>
      <c r="BE69" s="8">
        <f t="shared" si="37"/>
        <v>0</v>
      </c>
      <c r="BF69" s="8">
        <f t="shared" si="38"/>
        <v>0</v>
      </c>
      <c r="BG69" s="9"/>
      <c r="BH69" s="473"/>
      <c r="BI69" s="474"/>
      <c r="BJ69" s="9"/>
      <c r="BK69" s="17"/>
      <c r="BL69" s="428">
        <f t="shared" ref="BL69:BL74" si="46">D69</f>
        <v>0</v>
      </c>
      <c r="BM69" s="432">
        <f t="shared" ref="BM69:BM74" si="47">E69</f>
        <v>0</v>
      </c>
      <c r="BN69" s="431">
        <f t="shared" ref="BN69:BN74" si="48">F69</f>
        <v>0</v>
      </c>
      <c r="BO69" s="8">
        <f t="shared" ref="BO69:BO70" si="49">BM69*BN69</f>
        <v>0</v>
      </c>
      <c r="BP69" s="19"/>
      <c r="BQ69" s="431">
        <f t="shared" ref="BQ69:BQ74" si="50">I69</f>
        <v>0</v>
      </c>
      <c r="BR69" s="19"/>
      <c r="BS69" s="8">
        <f t="shared" si="39"/>
        <v>0</v>
      </c>
      <c r="BT69" s="8">
        <f t="shared" si="40"/>
        <v>0</v>
      </c>
      <c r="BU69" s="9"/>
      <c r="BV69" s="308"/>
      <c r="BW69" s="311"/>
    </row>
    <row r="70" spans="1:75" s="37" customFormat="1" x14ac:dyDescent="0.25">
      <c r="A70" s="308"/>
      <c r="B70" s="1"/>
      <c r="C70" s="1"/>
      <c r="D70" s="216"/>
      <c r="E70" s="217"/>
      <c r="F70" s="218"/>
      <c r="G70" s="8">
        <f t="shared" si="41"/>
        <v>0</v>
      </c>
      <c r="H70" s="3"/>
      <c r="I70" s="218"/>
      <c r="J70" s="3"/>
      <c r="K70" s="8">
        <f t="shared" si="25"/>
        <v>0</v>
      </c>
      <c r="L70" s="8">
        <f t="shared" si="26"/>
        <v>0</v>
      </c>
      <c r="M70" s="122"/>
      <c r="R70" s="308"/>
      <c r="S70" s="311"/>
      <c r="T70" s="1"/>
      <c r="U70" s="1"/>
      <c r="V70" s="225">
        <f t="shared" si="27"/>
        <v>0</v>
      </c>
      <c r="W70" s="226">
        <f t="shared" si="27"/>
        <v>0</v>
      </c>
      <c r="X70" s="227">
        <f t="shared" si="27"/>
        <v>0</v>
      </c>
      <c r="Y70" s="8">
        <f t="shared" si="42"/>
        <v>0</v>
      </c>
      <c r="Z70" s="3"/>
      <c r="AA70" s="227">
        <f t="shared" si="28"/>
        <v>0</v>
      </c>
      <c r="AB70" s="3"/>
      <c r="AC70" s="224">
        <f t="shared" si="29"/>
        <v>0</v>
      </c>
      <c r="AD70" s="224">
        <f t="shared" si="30"/>
        <v>0</v>
      </c>
      <c r="AE70" s="315"/>
      <c r="AF70" s="311"/>
      <c r="AG70" s="308"/>
      <c r="AH70" s="1"/>
      <c r="AI70" s="1"/>
      <c r="AJ70" s="225">
        <f t="shared" si="31"/>
        <v>0</v>
      </c>
      <c r="AK70" s="226">
        <f t="shared" si="31"/>
        <v>0</v>
      </c>
      <c r="AL70" s="227">
        <f t="shared" si="31"/>
        <v>0</v>
      </c>
      <c r="AM70" s="8">
        <f t="shared" si="43"/>
        <v>0</v>
      </c>
      <c r="AN70" s="3"/>
      <c r="AO70" s="227">
        <f t="shared" si="32"/>
        <v>0</v>
      </c>
      <c r="AP70" s="3"/>
      <c r="AQ70" s="224">
        <f t="shared" si="33"/>
        <v>0</v>
      </c>
      <c r="AR70" s="224">
        <f t="shared" si="34"/>
        <v>0</v>
      </c>
      <c r="AS70" s="122"/>
      <c r="AT70" s="308"/>
      <c r="AU70" s="311"/>
      <c r="AV70" s="9"/>
      <c r="AW70" s="1"/>
      <c r="AX70" s="428">
        <f t="shared" si="35"/>
        <v>0</v>
      </c>
      <c r="AY70" s="429">
        <f t="shared" si="44"/>
        <v>0</v>
      </c>
      <c r="AZ70" s="430">
        <f t="shared" si="35"/>
        <v>0</v>
      </c>
      <c r="BA70" s="8">
        <f t="shared" si="45"/>
        <v>0</v>
      </c>
      <c r="BB70" s="19"/>
      <c r="BC70" s="431">
        <f t="shared" si="36"/>
        <v>0</v>
      </c>
      <c r="BD70" s="19"/>
      <c r="BE70" s="8">
        <f t="shared" si="37"/>
        <v>0</v>
      </c>
      <c r="BF70" s="8">
        <f t="shared" si="38"/>
        <v>0</v>
      </c>
      <c r="BG70" s="9"/>
      <c r="BH70" s="473"/>
      <c r="BI70" s="474"/>
      <c r="BJ70" s="9"/>
      <c r="BK70" s="17"/>
      <c r="BL70" s="428">
        <f t="shared" si="46"/>
        <v>0</v>
      </c>
      <c r="BM70" s="432">
        <f t="shared" si="47"/>
        <v>0</v>
      </c>
      <c r="BN70" s="431">
        <f t="shared" si="48"/>
        <v>0</v>
      </c>
      <c r="BO70" s="8">
        <f t="shared" si="49"/>
        <v>0</v>
      </c>
      <c r="BP70" s="19"/>
      <c r="BQ70" s="431">
        <f t="shared" si="50"/>
        <v>0</v>
      </c>
      <c r="BR70" s="19"/>
      <c r="BS70" s="8">
        <f t="shared" si="39"/>
        <v>0</v>
      </c>
      <c r="BT70" s="8">
        <f t="shared" si="40"/>
        <v>0</v>
      </c>
      <c r="BU70" s="9"/>
      <c r="BV70" s="308"/>
      <c r="BW70" s="311"/>
    </row>
    <row r="71" spans="1:75" x14ac:dyDescent="0.25">
      <c r="B71" s="1"/>
      <c r="C71" s="1"/>
      <c r="D71" s="219"/>
      <c r="E71" s="217"/>
      <c r="F71" s="218"/>
      <c r="G71" s="8">
        <f>E71*F71</f>
        <v>0</v>
      </c>
      <c r="H71" s="3"/>
      <c r="I71" s="218"/>
      <c r="J71" s="3"/>
      <c r="K71" s="8">
        <f t="shared" si="25"/>
        <v>0</v>
      </c>
      <c r="L71" s="8">
        <f t="shared" si="26"/>
        <v>0</v>
      </c>
      <c r="M71" s="122"/>
      <c r="T71" s="1"/>
      <c r="U71" s="1"/>
      <c r="V71" s="225">
        <f t="shared" si="27"/>
        <v>0</v>
      </c>
      <c r="W71" s="226">
        <f t="shared" si="27"/>
        <v>0</v>
      </c>
      <c r="X71" s="227">
        <f t="shared" si="27"/>
        <v>0</v>
      </c>
      <c r="Y71" s="8">
        <f>W71*X71</f>
        <v>0</v>
      </c>
      <c r="Z71" s="3"/>
      <c r="AA71" s="227">
        <f t="shared" si="28"/>
        <v>0</v>
      </c>
      <c r="AB71" s="3"/>
      <c r="AC71" s="224">
        <f t="shared" si="29"/>
        <v>0</v>
      </c>
      <c r="AD71" s="224">
        <f t="shared" si="30"/>
        <v>0</v>
      </c>
      <c r="AE71" s="315"/>
      <c r="AH71" s="1"/>
      <c r="AI71" s="1"/>
      <c r="AJ71" s="225">
        <f t="shared" si="31"/>
        <v>0</v>
      </c>
      <c r="AK71" s="226">
        <f t="shared" si="31"/>
        <v>0</v>
      </c>
      <c r="AL71" s="227">
        <f t="shared" si="31"/>
        <v>0</v>
      </c>
      <c r="AM71" s="8">
        <f>AK71*AL71</f>
        <v>0</v>
      </c>
      <c r="AN71" s="3"/>
      <c r="AO71" s="227">
        <f t="shared" si="32"/>
        <v>0</v>
      </c>
      <c r="AP71" s="3"/>
      <c r="AQ71" s="224">
        <f t="shared" si="33"/>
        <v>0</v>
      </c>
      <c r="AR71" s="224">
        <f t="shared" si="34"/>
        <v>0</v>
      </c>
      <c r="AS71" s="122"/>
      <c r="AV71" s="9"/>
      <c r="AW71" s="1"/>
      <c r="AX71" s="428">
        <f t="shared" si="35"/>
        <v>0</v>
      </c>
      <c r="AY71" s="429">
        <f t="shared" si="44"/>
        <v>0</v>
      </c>
      <c r="AZ71" s="430">
        <f t="shared" si="35"/>
        <v>0</v>
      </c>
      <c r="BA71" s="8">
        <f>AY71*AZ71</f>
        <v>0</v>
      </c>
      <c r="BB71" s="19"/>
      <c r="BC71" s="431">
        <f t="shared" si="36"/>
        <v>0</v>
      </c>
      <c r="BD71" s="19"/>
      <c r="BE71" s="8">
        <f t="shared" si="37"/>
        <v>0</v>
      </c>
      <c r="BF71" s="8">
        <f t="shared" si="38"/>
        <v>0</v>
      </c>
      <c r="BG71" s="9"/>
      <c r="BH71" s="473"/>
      <c r="BI71" s="474"/>
      <c r="BJ71" s="9"/>
      <c r="BK71" s="17"/>
      <c r="BL71" s="428">
        <f t="shared" si="46"/>
        <v>0</v>
      </c>
      <c r="BM71" s="432">
        <f t="shared" si="47"/>
        <v>0</v>
      </c>
      <c r="BN71" s="431">
        <f t="shared" si="48"/>
        <v>0</v>
      </c>
      <c r="BO71" s="8">
        <f>BM71*BN71</f>
        <v>0</v>
      </c>
      <c r="BP71" s="19"/>
      <c r="BQ71" s="431">
        <f t="shared" si="50"/>
        <v>0</v>
      </c>
      <c r="BR71" s="19"/>
      <c r="BS71" s="8">
        <f t="shared" si="39"/>
        <v>0</v>
      </c>
      <c r="BT71" s="8">
        <f t="shared" si="40"/>
        <v>0</v>
      </c>
      <c r="BU71" s="9"/>
    </row>
    <row r="72" spans="1:75" x14ac:dyDescent="0.25">
      <c r="B72" s="1"/>
      <c r="C72" s="1"/>
      <c r="D72" s="219"/>
      <c r="E72" s="217"/>
      <c r="F72" s="218"/>
      <c r="G72" s="8">
        <f>E72*F72</f>
        <v>0</v>
      </c>
      <c r="H72" s="3"/>
      <c r="I72" s="218"/>
      <c r="J72" s="3"/>
      <c r="K72" s="8">
        <f t="shared" si="25"/>
        <v>0</v>
      </c>
      <c r="L72" s="8">
        <f t="shared" si="26"/>
        <v>0</v>
      </c>
      <c r="M72" s="122"/>
      <c r="P72" s="122"/>
      <c r="T72" s="1"/>
      <c r="U72" s="1"/>
      <c r="V72" s="225">
        <f t="shared" si="27"/>
        <v>0</v>
      </c>
      <c r="W72" s="226">
        <f t="shared" si="27"/>
        <v>0</v>
      </c>
      <c r="X72" s="227">
        <f t="shared" si="27"/>
        <v>0</v>
      </c>
      <c r="Y72" s="8">
        <f>W72*X72</f>
        <v>0</v>
      </c>
      <c r="Z72" s="3"/>
      <c r="AA72" s="227">
        <f t="shared" si="28"/>
        <v>0</v>
      </c>
      <c r="AB72" s="3"/>
      <c r="AC72" s="224">
        <f t="shared" si="29"/>
        <v>0</v>
      </c>
      <c r="AD72" s="224">
        <f t="shared" si="30"/>
        <v>0</v>
      </c>
      <c r="AE72" s="315"/>
      <c r="AH72" s="1"/>
      <c r="AI72" s="1"/>
      <c r="AJ72" s="225">
        <f t="shared" si="31"/>
        <v>0</v>
      </c>
      <c r="AK72" s="226">
        <f t="shared" si="31"/>
        <v>0</v>
      </c>
      <c r="AL72" s="227">
        <f t="shared" si="31"/>
        <v>0</v>
      </c>
      <c r="AM72" s="8">
        <f>AK72*AL72</f>
        <v>0</v>
      </c>
      <c r="AN72" s="3"/>
      <c r="AO72" s="227">
        <f t="shared" si="32"/>
        <v>0</v>
      </c>
      <c r="AP72" s="3"/>
      <c r="AQ72" s="224">
        <f t="shared" si="33"/>
        <v>0</v>
      </c>
      <c r="AR72" s="224">
        <f t="shared" si="34"/>
        <v>0</v>
      </c>
      <c r="AS72" s="122"/>
      <c r="AV72" s="9"/>
      <c r="AW72" s="1"/>
      <c r="AX72" s="428">
        <f t="shared" si="35"/>
        <v>0</v>
      </c>
      <c r="AY72" s="429">
        <f t="shared" si="44"/>
        <v>0</v>
      </c>
      <c r="AZ72" s="430">
        <f t="shared" si="35"/>
        <v>0</v>
      </c>
      <c r="BA72" s="8">
        <f>AY72*AZ72</f>
        <v>0</v>
      </c>
      <c r="BB72" s="19"/>
      <c r="BC72" s="431">
        <f t="shared" si="36"/>
        <v>0</v>
      </c>
      <c r="BD72" s="19"/>
      <c r="BE72" s="8">
        <f t="shared" si="37"/>
        <v>0</v>
      </c>
      <c r="BF72" s="8">
        <f t="shared" si="38"/>
        <v>0</v>
      </c>
      <c r="BG72" s="9"/>
      <c r="BH72" s="473"/>
      <c r="BI72" s="474"/>
      <c r="BJ72" s="9"/>
      <c r="BK72" s="17"/>
      <c r="BL72" s="428">
        <f t="shared" si="46"/>
        <v>0</v>
      </c>
      <c r="BM72" s="432">
        <f t="shared" si="47"/>
        <v>0</v>
      </c>
      <c r="BN72" s="431">
        <f t="shared" si="48"/>
        <v>0</v>
      </c>
      <c r="BO72" s="8">
        <f>BM72*BN72</f>
        <v>0</v>
      </c>
      <c r="BP72" s="19"/>
      <c r="BQ72" s="431">
        <f t="shared" si="50"/>
        <v>0</v>
      </c>
      <c r="BR72" s="19"/>
      <c r="BS72" s="8">
        <f t="shared" si="39"/>
        <v>0</v>
      </c>
      <c r="BT72" s="8">
        <f t="shared" si="40"/>
        <v>0</v>
      </c>
      <c r="BU72" s="9"/>
    </row>
    <row r="73" spans="1:75" x14ac:dyDescent="0.25">
      <c r="B73" s="1"/>
      <c r="C73" s="1"/>
      <c r="D73" s="216"/>
      <c r="E73" s="217"/>
      <c r="F73" s="218"/>
      <c r="G73" s="8">
        <f t="shared" si="41"/>
        <v>0</v>
      </c>
      <c r="H73" s="3"/>
      <c r="I73" s="218"/>
      <c r="J73" s="3"/>
      <c r="K73" s="8">
        <f t="shared" si="25"/>
        <v>0</v>
      </c>
      <c r="L73" s="8">
        <f t="shared" si="26"/>
        <v>0</v>
      </c>
      <c r="M73" s="122"/>
      <c r="T73" s="1"/>
      <c r="U73" s="1"/>
      <c r="V73" s="225">
        <f t="shared" si="27"/>
        <v>0</v>
      </c>
      <c r="W73" s="226">
        <f t="shared" si="27"/>
        <v>0</v>
      </c>
      <c r="X73" s="227">
        <f t="shared" si="27"/>
        <v>0</v>
      </c>
      <c r="Y73" s="8">
        <f t="shared" ref="Y73:Y74" si="51">W73*X73</f>
        <v>0</v>
      </c>
      <c r="Z73" s="3"/>
      <c r="AA73" s="227">
        <f t="shared" si="28"/>
        <v>0</v>
      </c>
      <c r="AB73" s="3"/>
      <c r="AC73" s="224">
        <f t="shared" si="29"/>
        <v>0</v>
      </c>
      <c r="AD73" s="224">
        <f t="shared" si="30"/>
        <v>0</v>
      </c>
      <c r="AE73" s="315"/>
      <c r="AH73" s="1"/>
      <c r="AI73" s="1"/>
      <c r="AJ73" s="225">
        <f t="shared" si="31"/>
        <v>0</v>
      </c>
      <c r="AK73" s="226">
        <f t="shared" si="31"/>
        <v>0</v>
      </c>
      <c r="AL73" s="227">
        <f t="shared" si="31"/>
        <v>0</v>
      </c>
      <c r="AM73" s="8">
        <f t="shared" ref="AM73:AM74" si="52">AK73*AL73</f>
        <v>0</v>
      </c>
      <c r="AN73" s="3"/>
      <c r="AO73" s="227">
        <f t="shared" si="32"/>
        <v>0</v>
      </c>
      <c r="AP73" s="3"/>
      <c r="AQ73" s="224">
        <f t="shared" si="33"/>
        <v>0</v>
      </c>
      <c r="AR73" s="224">
        <f t="shared" si="34"/>
        <v>0</v>
      </c>
      <c r="AS73" s="122"/>
      <c r="AV73" s="9"/>
      <c r="AW73" s="1"/>
      <c r="AX73" s="428">
        <f t="shared" si="35"/>
        <v>0</v>
      </c>
      <c r="AY73" s="429">
        <f t="shared" si="44"/>
        <v>0</v>
      </c>
      <c r="AZ73" s="430">
        <f t="shared" si="35"/>
        <v>0</v>
      </c>
      <c r="BA73" s="8">
        <f t="shared" ref="BA73:BA74" si="53">AY73*AZ73</f>
        <v>0</v>
      </c>
      <c r="BB73" s="19"/>
      <c r="BC73" s="431">
        <f t="shared" si="36"/>
        <v>0</v>
      </c>
      <c r="BD73" s="19"/>
      <c r="BE73" s="8">
        <f t="shared" si="37"/>
        <v>0</v>
      </c>
      <c r="BF73" s="8">
        <f t="shared" si="38"/>
        <v>0</v>
      </c>
      <c r="BG73" s="9"/>
      <c r="BH73" s="473"/>
      <c r="BI73" s="474"/>
      <c r="BJ73" s="9"/>
      <c r="BK73" s="17"/>
      <c r="BL73" s="428">
        <f t="shared" si="46"/>
        <v>0</v>
      </c>
      <c r="BM73" s="432">
        <f t="shared" si="47"/>
        <v>0</v>
      </c>
      <c r="BN73" s="431">
        <f t="shared" si="48"/>
        <v>0</v>
      </c>
      <c r="BO73" s="8">
        <f t="shared" ref="BO73:BO74" si="54">BM73*BN73</f>
        <v>0</v>
      </c>
      <c r="BP73" s="19"/>
      <c r="BQ73" s="431">
        <f t="shared" si="50"/>
        <v>0</v>
      </c>
      <c r="BR73" s="19"/>
      <c r="BS73" s="8">
        <f t="shared" si="39"/>
        <v>0</v>
      </c>
      <c r="BT73" s="8">
        <f t="shared" si="40"/>
        <v>0</v>
      </c>
      <c r="BU73" s="9"/>
    </row>
    <row r="74" spans="1:75" x14ac:dyDescent="0.25">
      <c r="B74" s="1"/>
      <c r="C74" s="1"/>
      <c r="D74" s="216"/>
      <c r="E74" s="217"/>
      <c r="F74" s="218"/>
      <c r="G74" s="8">
        <f t="shared" si="41"/>
        <v>0</v>
      </c>
      <c r="H74" s="3"/>
      <c r="I74" s="218"/>
      <c r="J74" s="3"/>
      <c r="K74" s="8">
        <f t="shared" si="25"/>
        <v>0</v>
      </c>
      <c r="L74" s="8">
        <f t="shared" si="26"/>
        <v>0</v>
      </c>
      <c r="M74" s="122"/>
      <c r="T74" s="1"/>
      <c r="U74" s="1"/>
      <c r="V74" s="225">
        <f t="shared" si="27"/>
        <v>0</v>
      </c>
      <c r="W74" s="226">
        <f t="shared" si="27"/>
        <v>0</v>
      </c>
      <c r="X74" s="227">
        <f t="shared" si="27"/>
        <v>0</v>
      </c>
      <c r="Y74" s="8">
        <f t="shared" si="51"/>
        <v>0</v>
      </c>
      <c r="Z74" s="3"/>
      <c r="AA74" s="227">
        <f t="shared" si="28"/>
        <v>0</v>
      </c>
      <c r="AB74" s="3"/>
      <c r="AC74" s="224">
        <f t="shared" si="29"/>
        <v>0</v>
      </c>
      <c r="AD74" s="224">
        <f t="shared" si="30"/>
        <v>0</v>
      </c>
      <c r="AE74" s="315"/>
      <c r="AH74" s="1"/>
      <c r="AI74" s="1"/>
      <c r="AJ74" s="225">
        <f t="shared" si="31"/>
        <v>0</v>
      </c>
      <c r="AK74" s="226">
        <f t="shared" si="31"/>
        <v>0</v>
      </c>
      <c r="AL74" s="227">
        <f t="shared" si="31"/>
        <v>0</v>
      </c>
      <c r="AM74" s="8">
        <f t="shared" si="52"/>
        <v>0</v>
      </c>
      <c r="AN74" s="3"/>
      <c r="AO74" s="227">
        <f t="shared" si="32"/>
        <v>0</v>
      </c>
      <c r="AP74" s="3"/>
      <c r="AQ74" s="224">
        <f t="shared" si="33"/>
        <v>0</v>
      </c>
      <c r="AR74" s="224">
        <f t="shared" si="34"/>
        <v>0</v>
      </c>
      <c r="AS74" s="122"/>
      <c r="AV74" s="9"/>
      <c r="AW74" s="1"/>
      <c r="AX74" s="428">
        <f t="shared" si="35"/>
        <v>0</v>
      </c>
      <c r="AY74" s="429">
        <f t="shared" si="44"/>
        <v>0</v>
      </c>
      <c r="AZ74" s="430">
        <f t="shared" si="35"/>
        <v>0</v>
      </c>
      <c r="BA74" s="8">
        <f t="shared" si="53"/>
        <v>0</v>
      </c>
      <c r="BB74" s="19"/>
      <c r="BC74" s="431">
        <f t="shared" si="36"/>
        <v>0</v>
      </c>
      <c r="BD74" s="19"/>
      <c r="BE74" s="8">
        <f t="shared" si="37"/>
        <v>0</v>
      </c>
      <c r="BF74" s="8">
        <f t="shared" si="38"/>
        <v>0</v>
      </c>
      <c r="BG74" s="9"/>
      <c r="BH74" s="473"/>
      <c r="BI74" s="474"/>
      <c r="BJ74" s="9"/>
      <c r="BK74" s="17"/>
      <c r="BL74" s="428">
        <f t="shared" si="46"/>
        <v>0</v>
      </c>
      <c r="BM74" s="432">
        <f t="shared" si="47"/>
        <v>0</v>
      </c>
      <c r="BN74" s="431">
        <f t="shared" si="48"/>
        <v>0</v>
      </c>
      <c r="BO74" s="8">
        <f t="shared" si="54"/>
        <v>0</v>
      </c>
      <c r="BP74" s="19"/>
      <c r="BQ74" s="431">
        <f t="shared" si="50"/>
        <v>0</v>
      </c>
      <c r="BR74" s="19"/>
      <c r="BS74" s="8">
        <f t="shared" si="39"/>
        <v>0</v>
      </c>
      <c r="BT74" s="8">
        <f t="shared" si="40"/>
        <v>0</v>
      </c>
      <c r="BU74" s="9"/>
    </row>
    <row r="75" spans="1:75" x14ac:dyDescent="0.25">
      <c r="B75" s="1"/>
      <c r="C75" s="1"/>
      <c r="D75" s="9"/>
      <c r="E75" s="2"/>
      <c r="F75" s="10"/>
      <c r="G75" s="2"/>
      <c r="H75" s="1"/>
      <c r="I75" s="2"/>
      <c r="J75" s="1"/>
      <c r="K75" s="9"/>
      <c r="L75" s="1"/>
      <c r="M75" s="122"/>
      <c r="T75" s="1"/>
      <c r="U75" s="1"/>
      <c r="V75" s="9"/>
      <c r="W75" s="2"/>
      <c r="X75" s="10"/>
      <c r="Y75" s="2"/>
      <c r="Z75" s="1"/>
      <c r="AA75" s="2"/>
      <c r="AB75" s="1"/>
      <c r="AC75" s="9"/>
      <c r="AD75" s="1"/>
      <c r="AE75" s="1"/>
      <c r="AH75" s="1"/>
      <c r="AI75" s="1"/>
      <c r="AJ75" s="9"/>
      <c r="AK75" s="2"/>
      <c r="AL75" s="10"/>
      <c r="AM75" s="2"/>
      <c r="AN75" s="1"/>
      <c r="AO75" s="2"/>
      <c r="AP75" s="1"/>
      <c r="AQ75" s="9"/>
      <c r="AR75" s="1"/>
      <c r="AS75" s="233"/>
      <c r="AV75" s="9"/>
      <c r="AW75" s="1"/>
      <c r="AX75" s="17"/>
      <c r="AY75" s="18"/>
      <c r="AZ75" s="19"/>
      <c r="BA75" s="18"/>
      <c r="BB75" s="17"/>
      <c r="BC75" s="18"/>
      <c r="BD75" s="17"/>
      <c r="BE75" s="9"/>
      <c r="BF75" s="1"/>
      <c r="BG75" s="9"/>
      <c r="BH75" s="473"/>
      <c r="BI75" s="474"/>
      <c r="BJ75" s="9"/>
      <c r="BK75" s="17"/>
      <c r="BL75" s="17"/>
      <c r="BM75" s="18"/>
      <c r="BN75" s="19"/>
      <c r="BO75" s="18"/>
      <c r="BP75" s="17"/>
      <c r="BQ75" s="18"/>
      <c r="BR75" s="17"/>
      <c r="BS75" s="17"/>
      <c r="BT75" s="17"/>
      <c r="BU75" s="9"/>
    </row>
    <row r="76" spans="1:75" x14ac:dyDescent="0.25">
      <c r="B76" s="1"/>
      <c r="C76" s="1"/>
      <c r="D76" s="1"/>
      <c r="E76" s="1"/>
      <c r="F76" s="3"/>
      <c r="G76" s="9"/>
      <c r="H76" s="1"/>
      <c r="I76" s="11"/>
      <c r="J76" s="11"/>
      <c r="K76" s="11"/>
      <c r="L76" s="11"/>
      <c r="M76" s="122"/>
      <c r="T76" s="1"/>
      <c r="U76" s="1"/>
      <c r="V76" s="1"/>
      <c r="W76" s="1"/>
      <c r="X76" s="1"/>
      <c r="Y76" s="9"/>
      <c r="Z76" s="1"/>
      <c r="AA76" s="11"/>
      <c r="AB76" s="11"/>
      <c r="AC76" s="11"/>
      <c r="AD76" s="11"/>
      <c r="AE76" s="11"/>
      <c r="AH76" s="1"/>
      <c r="AI76" s="1"/>
      <c r="AJ76" s="1"/>
      <c r="AK76" s="1"/>
      <c r="AL76" s="3"/>
      <c r="AM76" s="9"/>
      <c r="AN76" s="1"/>
      <c r="AO76" s="11"/>
      <c r="AP76" s="11"/>
      <c r="AQ76" s="11"/>
      <c r="AR76" s="11"/>
      <c r="AS76" s="122"/>
      <c r="AV76" s="9"/>
      <c r="AW76" s="1"/>
      <c r="AX76" s="17"/>
      <c r="AY76" s="1"/>
      <c r="AZ76" s="3"/>
      <c r="BA76" s="9"/>
      <c r="BB76" s="1"/>
      <c r="BC76" s="11"/>
      <c r="BD76" s="11"/>
      <c r="BE76" s="11"/>
      <c r="BF76" s="11"/>
      <c r="BG76" s="9"/>
      <c r="BH76" s="473"/>
      <c r="BI76" s="474"/>
      <c r="BJ76" s="9"/>
      <c r="BK76" s="1"/>
      <c r="BL76" s="17"/>
      <c r="BM76" s="1"/>
      <c r="BN76" s="19"/>
      <c r="BO76" s="17"/>
      <c r="BP76" s="17"/>
      <c r="BQ76" s="236"/>
      <c r="BR76" s="236"/>
      <c r="BS76" s="236"/>
      <c r="BT76" s="236"/>
      <c r="BU76" s="9"/>
    </row>
    <row r="77" spans="1:75" x14ac:dyDescent="0.25">
      <c r="B77" s="2"/>
      <c r="C77" s="2"/>
      <c r="D77" s="2"/>
      <c r="E77" s="12"/>
      <c r="F77" s="13"/>
      <c r="G77" s="2"/>
      <c r="H77" s="2"/>
      <c r="I77" s="11"/>
      <c r="J77" s="2"/>
      <c r="K77" s="11"/>
      <c r="L77" s="11"/>
      <c r="M77" s="122"/>
      <c r="T77" s="2"/>
      <c r="U77" s="2"/>
      <c r="V77" s="2"/>
      <c r="W77" s="12"/>
      <c r="X77" s="13"/>
      <c r="Y77" s="2"/>
      <c r="Z77" s="2"/>
      <c r="AA77" s="11"/>
      <c r="AB77" s="2"/>
      <c r="AC77" s="11"/>
      <c r="AD77" s="11"/>
      <c r="AE77" s="11"/>
      <c r="AH77" s="2"/>
      <c r="AI77" s="2"/>
      <c r="AJ77" s="2"/>
      <c r="AK77" s="12"/>
      <c r="AL77" s="13"/>
      <c r="AM77" s="2"/>
      <c r="AN77" s="2"/>
      <c r="AO77" s="11"/>
      <c r="AP77" s="2"/>
      <c r="AQ77" s="11"/>
      <c r="AR77" s="11"/>
      <c r="AS77" s="122"/>
      <c r="AV77" s="9"/>
      <c r="AW77" s="2"/>
      <c r="AX77" s="2"/>
      <c r="AY77" s="12"/>
      <c r="AZ77" s="13"/>
      <c r="BA77" s="2"/>
      <c r="BB77" s="2"/>
      <c r="BC77" s="11"/>
      <c r="BD77" s="2"/>
      <c r="BE77" s="11"/>
      <c r="BF77" s="11"/>
      <c r="BG77" s="9"/>
      <c r="BH77" s="473"/>
      <c r="BI77" s="474"/>
      <c r="BJ77" s="9"/>
      <c r="BK77" s="2"/>
      <c r="BL77" s="18"/>
      <c r="BM77" s="235"/>
      <c r="BN77" s="234"/>
      <c r="BO77" s="18"/>
      <c r="BP77" s="18"/>
      <c r="BQ77" s="236"/>
      <c r="BR77" s="18"/>
      <c r="BS77" s="236"/>
      <c r="BT77" s="236"/>
      <c r="BU77" s="9"/>
    </row>
    <row r="78" spans="1:75" x14ac:dyDescent="0.25">
      <c r="B78" s="2"/>
      <c r="C78" s="2" t="s">
        <v>23</v>
      </c>
      <c r="D78" s="2"/>
      <c r="E78" s="12"/>
      <c r="F78" s="13"/>
      <c r="G78" s="2"/>
      <c r="H78" s="2"/>
      <c r="I78" s="11"/>
      <c r="J78" s="2"/>
      <c r="K78" s="11"/>
      <c r="L78" s="11"/>
      <c r="M78" s="122"/>
      <c r="T78" s="2"/>
      <c r="U78" s="2" t="s">
        <v>23</v>
      </c>
      <c r="V78" s="2"/>
      <c r="W78" s="12"/>
      <c r="X78" s="13"/>
      <c r="Y78" s="2"/>
      <c r="Z78" s="2"/>
      <c r="AA78" s="11"/>
      <c r="AB78" s="2"/>
      <c r="AC78" s="11"/>
      <c r="AD78" s="11"/>
      <c r="AE78" s="11"/>
      <c r="AH78" s="2"/>
      <c r="AI78" s="2" t="s">
        <v>23</v>
      </c>
      <c r="AJ78" s="2"/>
      <c r="AK78" s="12"/>
      <c r="AL78" s="13"/>
      <c r="AM78" s="2"/>
      <c r="AN78" s="2"/>
      <c r="AO78" s="11"/>
      <c r="AP78" s="2"/>
      <c r="AQ78" s="11"/>
      <c r="AR78" s="11"/>
      <c r="AS78" s="122"/>
      <c r="AV78" s="9"/>
      <c r="AW78" s="2" t="s">
        <v>23</v>
      </c>
      <c r="AX78" s="2"/>
      <c r="AY78" s="12"/>
      <c r="AZ78" s="13"/>
      <c r="BA78" s="2"/>
      <c r="BB78" s="2"/>
      <c r="BC78" s="11"/>
      <c r="BD78" s="2"/>
      <c r="BE78" s="11"/>
      <c r="BF78" s="11"/>
      <c r="BG78" s="9"/>
      <c r="BH78" s="473"/>
      <c r="BI78" s="474"/>
      <c r="BJ78" s="9"/>
      <c r="BK78" s="2" t="s">
        <v>23</v>
      </c>
      <c r="BL78" s="18"/>
      <c r="BM78" s="235"/>
      <c r="BN78" s="234"/>
      <c r="BO78" s="18"/>
      <c r="BP78" s="18"/>
      <c r="BQ78" s="236"/>
      <c r="BR78" s="18"/>
      <c r="BS78" s="236"/>
      <c r="BT78" s="236"/>
      <c r="BU78" s="9"/>
    </row>
    <row r="79" spans="1:75" x14ac:dyDescent="0.25">
      <c r="B79" s="1"/>
      <c r="C79" s="1"/>
      <c r="D79" s="1"/>
      <c r="E79" s="3" t="s">
        <v>3</v>
      </c>
      <c r="F79" s="5" t="s">
        <v>7</v>
      </c>
      <c r="G79" s="3" t="s">
        <v>2</v>
      </c>
      <c r="H79" s="3"/>
      <c r="I79" s="3" t="s">
        <v>13</v>
      </c>
      <c r="J79" s="3"/>
      <c r="K79" s="3" t="s">
        <v>14</v>
      </c>
      <c r="L79" s="3" t="s">
        <v>2</v>
      </c>
      <c r="M79" s="122"/>
      <c r="T79" s="1"/>
      <c r="U79" s="1"/>
      <c r="V79" s="1"/>
      <c r="W79" s="3" t="s">
        <v>3</v>
      </c>
      <c r="X79" s="5" t="s">
        <v>7</v>
      </c>
      <c r="Y79" s="3" t="s">
        <v>2</v>
      </c>
      <c r="Z79" s="3"/>
      <c r="AA79" s="3" t="s">
        <v>13</v>
      </c>
      <c r="AB79" s="3"/>
      <c r="AC79" s="3" t="s">
        <v>14</v>
      </c>
      <c r="AD79" s="3" t="s">
        <v>2</v>
      </c>
      <c r="AE79" s="3"/>
      <c r="AH79" s="1"/>
      <c r="AI79" s="1"/>
      <c r="AJ79" s="1"/>
      <c r="AK79" s="3" t="s">
        <v>3</v>
      </c>
      <c r="AL79" s="5" t="s">
        <v>7</v>
      </c>
      <c r="AM79" s="3" t="s">
        <v>2</v>
      </c>
      <c r="AN79" s="3"/>
      <c r="AO79" s="3" t="s">
        <v>13</v>
      </c>
      <c r="AP79" s="3"/>
      <c r="AQ79" s="3" t="s">
        <v>14</v>
      </c>
      <c r="AR79" s="3" t="s">
        <v>2</v>
      </c>
      <c r="AS79" s="122"/>
      <c r="AV79" s="9"/>
      <c r="AW79" s="1"/>
      <c r="AX79" s="1"/>
      <c r="AY79" s="3" t="s">
        <v>3</v>
      </c>
      <c r="AZ79" s="5" t="s">
        <v>7</v>
      </c>
      <c r="BA79" s="3" t="s">
        <v>2</v>
      </c>
      <c r="BB79" s="3"/>
      <c r="BC79" s="3" t="s">
        <v>13</v>
      </c>
      <c r="BD79" s="3"/>
      <c r="BE79" s="3" t="s">
        <v>14</v>
      </c>
      <c r="BF79" s="3" t="s">
        <v>2</v>
      </c>
      <c r="BG79" s="9"/>
      <c r="BH79" s="473"/>
      <c r="BI79" s="474"/>
      <c r="BJ79" s="9"/>
      <c r="BK79" s="1"/>
      <c r="BL79" s="17"/>
      <c r="BM79" s="19" t="s">
        <v>3</v>
      </c>
      <c r="BN79" s="237" t="s">
        <v>7</v>
      </c>
      <c r="BO79" s="19" t="s">
        <v>2</v>
      </c>
      <c r="BP79" s="19"/>
      <c r="BQ79" s="19" t="s">
        <v>13</v>
      </c>
      <c r="BR79" s="19"/>
      <c r="BS79" s="19" t="s">
        <v>14</v>
      </c>
      <c r="BT79" s="19" t="s">
        <v>2</v>
      </c>
      <c r="BU79" s="9"/>
    </row>
    <row r="80" spans="1:75" ht="15" customHeight="1" x14ac:dyDescent="0.25">
      <c r="B80" s="1"/>
      <c r="C80" s="1"/>
      <c r="D80" s="14">
        <f>D68</f>
        <v>0</v>
      </c>
      <c r="E80" s="15">
        <f>E68</f>
        <v>0</v>
      </c>
      <c r="F80" s="16">
        <f>K68</f>
        <v>0</v>
      </c>
      <c r="G80" s="8">
        <f>E80*F80</f>
        <v>0</v>
      </c>
      <c r="H80" s="3"/>
      <c r="I80" s="217"/>
      <c r="J80" s="3"/>
      <c r="K80" s="8">
        <f>K68*I80</f>
        <v>0</v>
      </c>
      <c r="L80" s="8">
        <f>K80*E80</f>
        <v>0</v>
      </c>
      <c r="M80" s="122"/>
      <c r="T80" s="1"/>
      <c r="U80" s="1"/>
      <c r="V80" s="14">
        <f>V68</f>
        <v>0</v>
      </c>
      <c r="W80" s="15">
        <f>W68</f>
        <v>0</v>
      </c>
      <c r="X80" s="16">
        <f>AC68</f>
        <v>0</v>
      </c>
      <c r="Y80" s="8">
        <f>W80*X80</f>
        <v>0</v>
      </c>
      <c r="Z80" s="3"/>
      <c r="AA80" s="226">
        <f t="shared" ref="AA80:AA86" si="55">I80</f>
        <v>0</v>
      </c>
      <c r="AB80" s="3"/>
      <c r="AC80" s="224">
        <f>AC68*AA80</f>
        <v>0</v>
      </c>
      <c r="AD80" s="224">
        <f>AC80*W80</f>
        <v>0</v>
      </c>
      <c r="AE80" s="315"/>
      <c r="AH80" s="1"/>
      <c r="AI80" s="1"/>
      <c r="AJ80" s="14">
        <f>AJ68</f>
        <v>0</v>
      </c>
      <c r="AK80" s="15">
        <f>AK68</f>
        <v>0</v>
      </c>
      <c r="AL80" s="16">
        <f>AQ68</f>
        <v>0</v>
      </c>
      <c r="AM80" s="8">
        <f>AK80*AL80</f>
        <v>0</v>
      </c>
      <c r="AN80" s="3"/>
      <c r="AO80" s="226">
        <f t="shared" ref="AO80:AO86" si="56">I80</f>
        <v>0</v>
      </c>
      <c r="AP80" s="3"/>
      <c r="AQ80" s="224">
        <f>AQ68*AO80</f>
        <v>0</v>
      </c>
      <c r="AR80" s="224">
        <f>AQ80*AK80</f>
        <v>0</v>
      </c>
      <c r="AS80" s="122"/>
      <c r="AV80" s="9"/>
      <c r="AW80" s="1"/>
      <c r="AX80" s="14">
        <f>AX68</f>
        <v>0</v>
      </c>
      <c r="AY80" s="15">
        <f>AY68</f>
        <v>0</v>
      </c>
      <c r="AZ80" s="16">
        <f>BE68</f>
        <v>0</v>
      </c>
      <c r="BA80" s="8">
        <f>AY80*AZ80</f>
        <v>0</v>
      </c>
      <c r="BB80" s="19"/>
      <c r="BC80" s="432">
        <f t="shared" ref="BC80:BC86" si="57">I80</f>
        <v>0</v>
      </c>
      <c r="BD80" s="19"/>
      <c r="BE80" s="8">
        <f>BE68*BC80</f>
        <v>0</v>
      </c>
      <c r="BF80" s="8">
        <f>BE80*AY80</f>
        <v>0</v>
      </c>
      <c r="BG80" s="9"/>
      <c r="BH80" s="473"/>
      <c r="BI80" s="474"/>
      <c r="BJ80" s="9"/>
      <c r="BK80" s="1"/>
      <c r="BL80" s="14">
        <f>BL68</f>
        <v>0</v>
      </c>
      <c r="BM80" s="15">
        <f>BM68</f>
        <v>0</v>
      </c>
      <c r="BN80" s="16">
        <f>BS68</f>
        <v>0</v>
      </c>
      <c r="BO80" s="8">
        <f>BM80*BN80</f>
        <v>0</v>
      </c>
      <c r="BP80" s="19"/>
      <c r="BQ80" s="432">
        <f>I80</f>
        <v>0</v>
      </c>
      <c r="BR80" s="19"/>
      <c r="BS80" s="8">
        <f>BS68*BQ80</f>
        <v>0</v>
      </c>
      <c r="BT80" s="8">
        <f>BS80*BM80</f>
        <v>0</v>
      </c>
      <c r="BU80" s="9"/>
    </row>
    <row r="81" spans="2:73" ht="15.75" customHeight="1" x14ac:dyDescent="0.25">
      <c r="B81" s="1"/>
      <c r="C81" s="1"/>
      <c r="D81" s="14">
        <f t="shared" ref="D81:D86" si="58">D69</f>
        <v>0</v>
      </c>
      <c r="E81" s="15">
        <f t="shared" ref="E81:E86" si="59">E69</f>
        <v>0</v>
      </c>
      <c r="F81" s="16">
        <f t="shared" ref="F81:F86" si="60">K69</f>
        <v>0</v>
      </c>
      <c r="G81" s="8">
        <f t="shared" ref="G81:G86" si="61">E81*F81</f>
        <v>0</v>
      </c>
      <c r="H81" s="3"/>
      <c r="I81" s="217"/>
      <c r="J81" s="3"/>
      <c r="K81" s="8">
        <f>K69*I81</f>
        <v>0</v>
      </c>
      <c r="L81" s="8">
        <f>K81*E81</f>
        <v>0</v>
      </c>
      <c r="M81" s="122"/>
      <c r="T81" s="1"/>
      <c r="U81" s="1"/>
      <c r="V81" s="14">
        <f t="shared" ref="V81:W86" si="62">V69</f>
        <v>0</v>
      </c>
      <c r="W81" s="15">
        <f t="shared" si="62"/>
        <v>0</v>
      </c>
      <c r="X81" s="16">
        <f t="shared" ref="X81:X86" si="63">AC69</f>
        <v>0</v>
      </c>
      <c r="Y81" s="8">
        <f t="shared" ref="Y81:Y86" si="64">W81*X81</f>
        <v>0</v>
      </c>
      <c r="Z81" s="3"/>
      <c r="AA81" s="226">
        <f t="shared" si="55"/>
        <v>0</v>
      </c>
      <c r="AB81" s="3"/>
      <c r="AC81" s="224">
        <f>AC69*AA81</f>
        <v>0</v>
      </c>
      <c r="AD81" s="224">
        <f>AC81*W81</f>
        <v>0</v>
      </c>
      <c r="AE81" s="315"/>
      <c r="AH81" s="1"/>
      <c r="AI81" s="1"/>
      <c r="AJ81" s="14">
        <f t="shared" ref="AJ81:AK86" si="65">AJ69</f>
        <v>0</v>
      </c>
      <c r="AK81" s="15">
        <f t="shared" si="65"/>
        <v>0</v>
      </c>
      <c r="AL81" s="16">
        <f t="shared" ref="AL81:AL86" si="66">AQ69</f>
        <v>0</v>
      </c>
      <c r="AM81" s="8">
        <f t="shared" ref="AM81:AM86" si="67">AK81*AL81</f>
        <v>0</v>
      </c>
      <c r="AN81" s="3"/>
      <c r="AO81" s="226">
        <f t="shared" si="56"/>
        <v>0</v>
      </c>
      <c r="AP81" s="3"/>
      <c r="AQ81" s="224">
        <f>AQ69*AO81</f>
        <v>0</v>
      </c>
      <c r="AR81" s="224">
        <f>AQ81*AK81</f>
        <v>0</v>
      </c>
      <c r="AS81" s="122"/>
      <c r="AV81" s="9"/>
      <c r="AW81" s="1"/>
      <c r="AX81" s="14">
        <f t="shared" ref="AX81:AY86" si="68">AX69</f>
        <v>0</v>
      </c>
      <c r="AY81" s="15">
        <f t="shared" si="68"/>
        <v>0</v>
      </c>
      <c r="AZ81" s="16">
        <f t="shared" ref="AZ81:AZ86" si="69">BE69</f>
        <v>0</v>
      </c>
      <c r="BA81" s="8">
        <f t="shared" ref="BA81:BA86" si="70">AY81*AZ81</f>
        <v>0</v>
      </c>
      <c r="BB81" s="19"/>
      <c r="BC81" s="432">
        <f t="shared" si="57"/>
        <v>0</v>
      </c>
      <c r="BD81" s="19"/>
      <c r="BE81" s="8">
        <f t="shared" ref="BE81:BE86" si="71">BE69*BC81</f>
        <v>0</v>
      </c>
      <c r="BF81" s="8">
        <f>BE81*AY81</f>
        <v>0</v>
      </c>
      <c r="BG81" s="9"/>
      <c r="BH81" s="473"/>
      <c r="BI81" s="474"/>
      <c r="BJ81" s="9"/>
      <c r="BK81" s="1"/>
      <c r="BL81" s="14">
        <f t="shared" ref="BL81:BM81" si="72">BL69</f>
        <v>0</v>
      </c>
      <c r="BM81" s="15">
        <f t="shared" si="72"/>
        <v>0</v>
      </c>
      <c r="BN81" s="16">
        <f t="shared" ref="BN81:BN86" si="73">BS69</f>
        <v>0</v>
      </c>
      <c r="BO81" s="8">
        <f t="shared" ref="BO81:BO86" si="74">BM81*BN81</f>
        <v>0</v>
      </c>
      <c r="BP81" s="19"/>
      <c r="BQ81" s="432">
        <f t="shared" ref="BQ81:BQ86" si="75">I81</f>
        <v>0</v>
      </c>
      <c r="BR81" s="19"/>
      <c r="BS81" s="8">
        <f>BS69*BQ81</f>
        <v>0</v>
      </c>
      <c r="BT81" s="8">
        <f>BS81*BM81</f>
        <v>0</v>
      </c>
      <c r="BU81" s="9"/>
    </row>
    <row r="82" spans="2:73" x14ac:dyDescent="0.25">
      <c r="B82" s="1"/>
      <c r="C82" s="1"/>
      <c r="D82" s="14">
        <f t="shared" si="58"/>
        <v>0</v>
      </c>
      <c r="E82" s="15">
        <f t="shared" si="59"/>
        <v>0</v>
      </c>
      <c r="F82" s="16">
        <f t="shared" si="60"/>
        <v>0</v>
      </c>
      <c r="G82" s="8">
        <f t="shared" si="61"/>
        <v>0</v>
      </c>
      <c r="H82" s="3"/>
      <c r="I82" s="217"/>
      <c r="J82" s="3"/>
      <c r="K82" s="8">
        <f>K70*I82</f>
        <v>0</v>
      </c>
      <c r="L82" s="8">
        <f>K82*E82</f>
        <v>0</v>
      </c>
      <c r="M82" s="122"/>
      <c r="T82" s="1"/>
      <c r="U82" s="1"/>
      <c r="V82" s="14">
        <f t="shared" si="62"/>
        <v>0</v>
      </c>
      <c r="W82" s="15">
        <f t="shared" si="62"/>
        <v>0</v>
      </c>
      <c r="X82" s="16">
        <f t="shared" si="63"/>
        <v>0</v>
      </c>
      <c r="Y82" s="8">
        <f t="shared" si="64"/>
        <v>0</v>
      </c>
      <c r="Z82" s="3"/>
      <c r="AA82" s="226">
        <f t="shared" si="55"/>
        <v>0</v>
      </c>
      <c r="AB82" s="3"/>
      <c r="AC82" s="224">
        <f>AC70*AA82</f>
        <v>0</v>
      </c>
      <c r="AD82" s="224">
        <f>AC82*W82</f>
        <v>0</v>
      </c>
      <c r="AE82" s="315"/>
      <c r="AH82" s="1"/>
      <c r="AI82" s="1"/>
      <c r="AJ82" s="14">
        <f t="shared" si="65"/>
        <v>0</v>
      </c>
      <c r="AK82" s="15">
        <f t="shared" si="65"/>
        <v>0</v>
      </c>
      <c r="AL82" s="16">
        <f t="shared" si="66"/>
        <v>0</v>
      </c>
      <c r="AM82" s="8">
        <f t="shared" si="67"/>
        <v>0</v>
      </c>
      <c r="AN82" s="3"/>
      <c r="AO82" s="226">
        <f t="shared" si="56"/>
        <v>0</v>
      </c>
      <c r="AP82" s="3"/>
      <c r="AQ82" s="224">
        <f>AQ70*AO82</f>
        <v>0</v>
      </c>
      <c r="AR82" s="224">
        <f>AQ82*AK82</f>
        <v>0</v>
      </c>
      <c r="AS82" s="122"/>
      <c r="AV82" s="9"/>
      <c r="AW82" s="1"/>
      <c r="AX82" s="14">
        <f t="shared" si="68"/>
        <v>0</v>
      </c>
      <c r="AY82" s="15">
        <f t="shared" si="68"/>
        <v>0</v>
      </c>
      <c r="AZ82" s="16">
        <f t="shared" si="69"/>
        <v>0</v>
      </c>
      <c r="BA82" s="8">
        <f t="shared" si="70"/>
        <v>0</v>
      </c>
      <c r="BB82" s="19"/>
      <c r="BC82" s="432">
        <f t="shared" si="57"/>
        <v>0</v>
      </c>
      <c r="BD82" s="19"/>
      <c r="BE82" s="8">
        <f t="shared" si="71"/>
        <v>0</v>
      </c>
      <c r="BF82" s="8">
        <f>BE82*AY82</f>
        <v>0</v>
      </c>
      <c r="BG82" s="9"/>
      <c r="BH82" s="473"/>
      <c r="BI82" s="474"/>
      <c r="BJ82" s="9"/>
      <c r="BK82" s="1"/>
      <c r="BL82" s="14">
        <f t="shared" ref="BL82:BM82" si="76">BL70</f>
        <v>0</v>
      </c>
      <c r="BM82" s="15">
        <f t="shared" si="76"/>
        <v>0</v>
      </c>
      <c r="BN82" s="16">
        <f t="shared" si="73"/>
        <v>0</v>
      </c>
      <c r="BO82" s="8">
        <f t="shared" si="74"/>
        <v>0</v>
      </c>
      <c r="BP82" s="19"/>
      <c r="BQ82" s="432">
        <f t="shared" si="75"/>
        <v>0</v>
      </c>
      <c r="BR82" s="19"/>
      <c r="BS82" s="8">
        <f>BS70*BQ82</f>
        <v>0</v>
      </c>
      <c r="BT82" s="8">
        <f>BS82*BM82</f>
        <v>0</v>
      </c>
      <c r="BU82" s="9"/>
    </row>
    <row r="83" spans="2:73" x14ac:dyDescent="0.25">
      <c r="B83" s="1"/>
      <c r="C83" s="1"/>
      <c r="D83" s="14">
        <f t="shared" si="58"/>
        <v>0</v>
      </c>
      <c r="E83" s="15">
        <f t="shared" si="59"/>
        <v>0</v>
      </c>
      <c r="F83" s="16">
        <f t="shared" si="60"/>
        <v>0</v>
      </c>
      <c r="G83" s="8">
        <f t="shared" si="61"/>
        <v>0</v>
      </c>
      <c r="H83" s="3"/>
      <c r="I83" s="217"/>
      <c r="J83" s="3"/>
      <c r="K83" s="8">
        <f>K71*I83</f>
        <v>0</v>
      </c>
      <c r="L83" s="8">
        <f>K83*E83</f>
        <v>0</v>
      </c>
      <c r="M83" s="122"/>
      <c r="T83" s="1"/>
      <c r="U83" s="1"/>
      <c r="V83" s="14">
        <f t="shared" si="62"/>
        <v>0</v>
      </c>
      <c r="W83" s="15">
        <f t="shared" si="62"/>
        <v>0</v>
      </c>
      <c r="X83" s="16">
        <f t="shared" si="63"/>
        <v>0</v>
      </c>
      <c r="Y83" s="8">
        <f t="shared" si="64"/>
        <v>0</v>
      </c>
      <c r="Z83" s="3"/>
      <c r="AA83" s="226">
        <f t="shared" si="55"/>
        <v>0</v>
      </c>
      <c r="AB83" s="3"/>
      <c r="AC83" s="224">
        <f>AC71*AA83</f>
        <v>0</v>
      </c>
      <c r="AD83" s="224">
        <f>AC83*W83</f>
        <v>0</v>
      </c>
      <c r="AE83" s="315"/>
      <c r="AH83" s="1"/>
      <c r="AI83" s="1"/>
      <c r="AJ83" s="14">
        <f t="shared" si="65"/>
        <v>0</v>
      </c>
      <c r="AK83" s="15">
        <f t="shared" si="65"/>
        <v>0</v>
      </c>
      <c r="AL83" s="16">
        <f t="shared" si="66"/>
        <v>0</v>
      </c>
      <c r="AM83" s="8">
        <f t="shared" si="67"/>
        <v>0</v>
      </c>
      <c r="AN83" s="3"/>
      <c r="AO83" s="226">
        <f t="shared" si="56"/>
        <v>0</v>
      </c>
      <c r="AP83" s="3"/>
      <c r="AQ83" s="224">
        <f>AQ71*AO83</f>
        <v>0</v>
      </c>
      <c r="AR83" s="224">
        <f>AQ83*AK83</f>
        <v>0</v>
      </c>
      <c r="AS83" s="122"/>
      <c r="AV83" s="9"/>
      <c r="AW83" s="1"/>
      <c r="AX83" s="14">
        <f t="shared" si="68"/>
        <v>0</v>
      </c>
      <c r="AY83" s="15">
        <f t="shared" si="68"/>
        <v>0</v>
      </c>
      <c r="AZ83" s="16">
        <f t="shared" si="69"/>
        <v>0</v>
      </c>
      <c r="BA83" s="8">
        <f t="shared" si="70"/>
        <v>0</v>
      </c>
      <c r="BB83" s="19"/>
      <c r="BC83" s="432">
        <f t="shared" si="57"/>
        <v>0</v>
      </c>
      <c r="BD83" s="19"/>
      <c r="BE83" s="8">
        <f t="shared" si="71"/>
        <v>0</v>
      </c>
      <c r="BF83" s="8">
        <f>BE83*AY83</f>
        <v>0</v>
      </c>
      <c r="BG83" s="9"/>
      <c r="BH83" s="473"/>
      <c r="BI83" s="474"/>
      <c r="BJ83" s="9"/>
      <c r="BK83" s="1"/>
      <c r="BL83" s="14">
        <f t="shared" ref="BL83:BM83" si="77">BL71</f>
        <v>0</v>
      </c>
      <c r="BM83" s="15">
        <f t="shared" si="77"/>
        <v>0</v>
      </c>
      <c r="BN83" s="16">
        <f t="shared" si="73"/>
        <v>0</v>
      </c>
      <c r="BO83" s="8">
        <f t="shared" si="74"/>
        <v>0</v>
      </c>
      <c r="BP83" s="19"/>
      <c r="BQ83" s="432">
        <f t="shared" si="75"/>
        <v>0</v>
      </c>
      <c r="BR83" s="19"/>
      <c r="BS83" s="8">
        <f>BS71*BQ83</f>
        <v>0</v>
      </c>
      <c r="BT83" s="8">
        <f>BS83*BM83</f>
        <v>0</v>
      </c>
      <c r="BU83" s="9"/>
    </row>
    <row r="84" spans="2:73" x14ac:dyDescent="0.25">
      <c r="B84" s="1"/>
      <c r="C84" s="1"/>
      <c r="D84" s="14">
        <f t="shared" si="58"/>
        <v>0</v>
      </c>
      <c r="E84" s="15">
        <f t="shared" si="59"/>
        <v>0</v>
      </c>
      <c r="F84" s="16">
        <f t="shared" si="60"/>
        <v>0</v>
      </c>
      <c r="G84" s="8">
        <f t="shared" si="61"/>
        <v>0</v>
      </c>
      <c r="H84" s="3"/>
      <c r="I84" s="217"/>
      <c r="J84" s="3"/>
      <c r="K84" s="8">
        <f>K72*I84</f>
        <v>0</v>
      </c>
      <c r="L84" s="8">
        <f>K84*E84</f>
        <v>0</v>
      </c>
      <c r="M84" s="122"/>
      <c r="N84" s="122"/>
      <c r="T84" s="1"/>
      <c r="U84" s="1"/>
      <c r="V84" s="14">
        <f t="shared" si="62"/>
        <v>0</v>
      </c>
      <c r="W84" s="15">
        <f t="shared" si="62"/>
        <v>0</v>
      </c>
      <c r="X84" s="16">
        <f t="shared" si="63"/>
        <v>0</v>
      </c>
      <c r="Y84" s="8">
        <f t="shared" si="64"/>
        <v>0</v>
      </c>
      <c r="Z84" s="3"/>
      <c r="AA84" s="226">
        <f t="shared" si="55"/>
        <v>0</v>
      </c>
      <c r="AB84" s="3"/>
      <c r="AC84" s="224">
        <f>AC72*AA84</f>
        <v>0</v>
      </c>
      <c r="AD84" s="224">
        <f>AC84*W84</f>
        <v>0</v>
      </c>
      <c r="AE84" s="315"/>
      <c r="AH84" s="1"/>
      <c r="AI84" s="1"/>
      <c r="AJ84" s="14">
        <f t="shared" si="65"/>
        <v>0</v>
      </c>
      <c r="AK84" s="15">
        <f t="shared" si="65"/>
        <v>0</v>
      </c>
      <c r="AL84" s="16">
        <f t="shared" si="66"/>
        <v>0</v>
      </c>
      <c r="AM84" s="8">
        <f t="shared" si="67"/>
        <v>0</v>
      </c>
      <c r="AN84" s="3"/>
      <c r="AO84" s="226">
        <f t="shared" si="56"/>
        <v>0</v>
      </c>
      <c r="AP84" s="3"/>
      <c r="AQ84" s="224">
        <f>AQ72*AO84</f>
        <v>0</v>
      </c>
      <c r="AR84" s="224">
        <f>AQ84*AK84</f>
        <v>0</v>
      </c>
      <c r="AS84" s="122"/>
      <c r="AV84" s="9"/>
      <c r="AW84" s="1"/>
      <c r="AX84" s="14">
        <f t="shared" si="68"/>
        <v>0</v>
      </c>
      <c r="AY84" s="15">
        <f t="shared" si="68"/>
        <v>0</v>
      </c>
      <c r="AZ84" s="16">
        <f t="shared" si="69"/>
        <v>0</v>
      </c>
      <c r="BA84" s="8">
        <f t="shared" si="70"/>
        <v>0</v>
      </c>
      <c r="BB84" s="19"/>
      <c r="BC84" s="432">
        <f t="shared" si="57"/>
        <v>0</v>
      </c>
      <c r="BD84" s="19"/>
      <c r="BE84" s="8">
        <f t="shared" si="71"/>
        <v>0</v>
      </c>
      <c r="BF84" s="8">
        <f>BE84*AY84</f>
        <v>0</v>
      </c>
      <c r="BG84" s="9"/>
      <c r="BH84" s="473"/>
      <c r="BI84" s="474"/>
      <c r="BJ84" s="9"/>
      <c r="BK84" s="1"/>
      <c r="BL84" s="14">
        <f t="shared" ref="BL84:BM84" si="78">BL72</f>
        <v>0</v>
      </c>
      <c r="BM84" s="15">
        <f t="shared" si="78"/>
        <v>0</v>
      </c>
      <c r="BN84" s="16">
        <f t="shared" si="73"/>
        <v>0</v>
      </c>
      <c r="BO84" s="8">
        <f t="shared" si="74"/>
        <v>0</v>
      </c>
      <c r="BP84" s="19"/>
      <c r="BQ84" s="432">
        <f t="shared" si="75"/>
        <v>0</v>
      </c>
      <c r="BR84" s="19"/>
      <c r="BS84" s="8">
        <f>BS72*BQ84</f>
        <v>0</v>
      </c>
      <c r="BT84" s="8">
        <f>BS84*BM84</f>
        <v>0</v>
      </c>
      <c r="BU84" s="9"/>
    </row>
    <row r="85" spans="2:73" x14ac:dyDescent="0.25">
      <c r="B85" s="1"/>
      <c r="C85" s="1"/>
      <c r="D85" s="14">
        <f t="shared" si="58"/>
        <v>0</v>
      </c>
      <c r="E85" s="15">
        <f t="shared" si="59"/>
        <v>0</v>
      </c>
      <c r="F85" s="16">
        <f t="shared" si="60"/>
        <v>0</v>
      </c>
      <c r="G85" s="8">
        <f t="shared" si="61"/>
        <v>0</v>
      </c>
      <c r="H85" s="3"/>
      <c r="I85" s="217"/>
      <c r="J85" s="3"/>
      <c r="K85" s="8">
        <f t="shared" ref="K85:K86" si="79">K73*I85</f>
        <v>0</v>
      </c>
      <c r="L85" s="8">
        <f t="shared" ref="L85:L86" si="80">K85*E85</f>
        <v>0</v>
      </c>
      <c r="M85" s="122"/>
      <c r="N85" s="122"/>
      <c r="T85" s="1"/>
      <c r="U85" s="1"/>
      <c r="V85" s="14">
        <f t="shared" si="62"/>
        <v>0</v>
      </c>
      <c r="W85" s="15">
        <f t="shared" si="62"/>
        <v>0</v>
      </c>
      <c r="X85" s="16">
        <f t="shared" si="63"/>
        <v>0</v>
      </c>
      <c r="Y85" s="8">
        <f t="shared" si="64"/>
        <v>0</v>
      </c>
      <c r="Z85" s="3"/>
      <c r="AA85" s="226">
        <f t="shared" si="55"/>
        <v>0</v>
      </c>
      <c r="AB85" s="3"/>
      <c r="AC85" s="224">
        <f t="shared" ref="AC85:AC86" si="81">AC73*AA85</f>
        <v>0</v>
      </c>
      <c r="AD85" s="224">
        <f t="shared" ref="AD85:AD86" si="82">AC85*W85</f>
        <v>0</v>
      </c>
      <c r="AE85" s="315"/>
      <c r="AH85" s="1"/>
      <c r="AI85" s="1"/>
      <c r="AJ85" s="14">
        <f t="shared" si="65"/>
        <v>0</v>
      </c>
      <c r="AK85" s="15">
        <f t="shared" si="65"/>
        <v>0</v>
      </c>
      <c r="AL85" s="16">
        <f t="shared" si="66"/>
        <v>0</v>
      </c>
      <c r="AM85" s="8">
        <f t="shared" si="67"/>
        <v>0</v>
      </c>
      <c r="AN85" s="3"/>
      <c r="AO85" s="226">
        <f t="shared" si="56"/>
        <v>0</v>
      </c>
      <c r="AP85" s="3"/>
      <c r="AQ85" s="224">
        <f t="shared" ref="AQ85:AQ86" si="83">AQ73*AO85</f>
        <v>0</v>
      </c>
      <c r="AR85" s="224">
        <f t="shared" ref="AR85:AR86" si="84">AQ85*AK85</f>
        <v>0</v>
      </c>
      <c r="AS85" s="122"/>
      <c r="AV85" s="9"/>
      <c r="AW85" s="1"/>
      <c r="AX85" s="14">
        <f t="shared" si="68"/>
        <v>0</v>
      </c>
      <c r="AY85" s="15">
        <f t="shared" si="68"/>
        <v>0</v>
      </c>
      <c r="AZ85" s="16">
        <f t="shared" si="69"/>
        <v>0</v>
      </c>
      <c r="BA85" s="8">
        <f t="shared" si="70"/>
        <v>0</v>
      </c>
      <c r="BB85" s="19"/>
      <c r="BC85" s="432">
        <f t="shared" si="57"/>
        <v>0</v>
      </c>
      <c r="BD85" s="19"/>
      <c r="BE85" s="8">
        <f t="shared" si="71"/>
        <v>0</v>
      </c>
      <c r="BF85" s="8">
        <f t="shared" ref="BF85:BF86" si="85">BE85*AY85</f>
        <v>0</v>
      </c>
      <c r="BG85" s="9"/>
      <c r="BH85" s="473"/>
      <c r="BI85" s="474"/>
      <c r="BJ85" s="9"/>
      <c r="BK85" s="1"/>
      <c r="BL85" s="14">
        <f t="shared" ref="BL85:BM85" si="86">BL73</f>
        <v>0</v>
      </c>
      <c r="BM85" s="15">
        <f t="shared" si="86"/>
        <v>0</v>
      </c>
      <c r="BN85" s="16">
        <f t="shared" si="73"/>
        <v>0</v>
      </c>
      <c r="BO85" s="8">
        <f t="shared" si="74"/>
        <v>0</v>
      </c>
      <c r="BP85" s="19"/>
      <c r="BQ85" s="432">
        <f t="shared" si="75"/>
        <v>0</v>
      </c>
      <c r="BR85" s="19"/>
      <c r="BS85" s="8">
        <f t="shared" ref="BS85:BS86" si="87">BS73*BQ85</f>
        <v>0</v>
      </c>
      <c r="BT85" s="8">
        <f t="shared" ref="BT85:BT86" si="88">BS85*BM85</f>
        <v>0</v>
      </c>
      <c r="BU85" s="9"/>
    </row>
    <row r="86" spans="2:73" x14ac:dyDescent="0.25">
      <c r="B86" s="1"/>
      <c r="C86" s="1"/>
      <c r="D86" s="14">
        <f t="shared" si="58"/>
        <v>0</v>
      </c>
      <c r="E86" s="15">
        <f t="shared" si="59"/>
        <v>0</v>
      </c>
      <c r="F86" s="16">
        <f t="shared" si="60"/>
        <v>0</v>
      </c>
      <c r="G86" s="8">
        <f t="shared" si="61"/>
        <v>0</v>
      </c>
      <c r="H86" s="3"/>
      <c r="I86" s="217"/>
      <c r="J86" s="3"/>
      <c r="K86" s="8">
        <f t="shared" si="79"/>
        <v>0</v>
      </c>
      <c r="L86" s="8">
        <f t="shared" si="80"/>
        <v>0</v>
      </c>
      <c r="M86" s="122"/>
      <c r="N86" s="122"/>
      <c r="T86" s="1"/>
      <c r="U86" s="1"/>
      <c r="V86" s="14">
        <f t="shared" si="62"/>
        <v>0</v>
      </c>
      <c r="W86" s="15">
        <f t="shared" si="62"/>
        <v>0</v>
      </c>
      <c r="X86" s="16">
        <f t="shared" si="63"/>
        <v>0</v>
      </c>
      <c r="Y86" s="8">
        <f t="shared" si="64"/>
        <v>0</v>
      </c>
      <c r="Z86" s="3"/>
      <c r="AA86" s="226">
        <f t="shared" si="55"/>
        <v>0</v>
      </c>
      <c r="AB86" s="3"/>
      <c r="AC86" s="224">
        <f t="shared" si="81"/>
        <v>0</v>
      </c>
      <c r="AD86" s="224">
        <f t="shared" si="82"/>
        <v>0</v>
      </c>
      <c r="AE86" s="315"/>
      <c r="AH86" s="1"/>
      <c r="AI86" s="1"/>
      <c r="AJ86" s="14">
        <f t="shared" si="65"/>
        <v>0</v>
      </c>
      <c r="AK86" s="15">
        <f t="shared" si="65"/>
        <v>0</v>
      </c>
      <c r="AL86" s="16">
        <f t="shared" si="66"/>
        <v>0</v>
      </c>
      <c r="AM86" s="8">
        <f t="shared" si="67"/>
        <v>0</v>
      </c>
      <c r="AN86" s="3"/>
      <c r="AO86" s="226">
        <f t="shared" si="56"/>
        <v>0</v>
      </c>
      <c r="AP86" s="3"/>
      <c r="AQ86" s="224">
        <f t="shared" si="83"/>
        <v>0</v>
      </c>
      <c r="AR86" s="224">
        <f t="shared" si="84"/>
        <v>0</v>
      </c>
      <c r="AS86" s="122"/>
      <c r="AV86" s="9"/>
      <c r="AW86" s="1"/>
      <c r="AX86" s="14">
        <f t="shared" si="68"/>
        <v>0</v>
      </c>
      <c r="AY86" s="15">
        <f t="shared" si="68"/>
        <v>0</v>
      </c>
      <c r="AZ86" s="16">
        <f t="shared" si="69"/>
        <v>0</v>
      </c>
      <c r="BA86" s="8">
        <f t="shared" si="70"/>
        <v>0</v>
      </c>
      <c r="BB86" s="19"/>
      <c r="BC86" s="432">
        <f t="shared" si="57"/>
        <v>0</v>
      </c>
      <c r="BD86" s="19"/>
      <c r="BE86" s="8">
        <f t="shared" si="71"/>
        <v>0</v>
      </c>
      <c r="BF86" s="8">
        <f t="shared" si="85"/>
        <v>0</v>
      </c>
      <c r="BG86" s="9"/>
      <c r="BH86" s="473"/>
      <c r="BI86" s="474"/>
      <c r="BJ86" s="9"/>
      <c r="BK86" s="1"/>
      <c r="BL86" s="14">
        <f t="shared" ref="BL86:BM86" si="89">BL74</f>
        <v>0</v>
      </c>
      <c r="BM86" s="15">
        <f t="shared" si="89"/>
        <v>0</v>
      </c>
      <c r="BN86" s="16">
        <f t="shared" si="73"/>
        <v>0</v>
      </c>
      <c r="BO86" s="8">
        <f t="shared" si="74"/>
        <v>0</v>
      </c>
      <c r="BP86" s="19"/>
      <c r="BQ86" s="432">
        <f t="shared" si="75"/>
        <v>0</v>
      </c>
      <c r="BR86" s="19"/>
      <c r="BS86" s="8">
        <f t="shared" si="87"/>
        <v>0</v>
      </c>
      <c r="BT86" s="8">
        <f t="shared" si="88"/>
        <v>0</v>
      </c>
      <c r="BU86" s="9"/>
    </row>
    <row r="87" spans="2:73" ht="15.75" thickBot="1" x14ac:dyDescent="0.3">
      <c r="B87" s="1"/>
      <c r="C87" s="1"/>
      <c r="D87" s="17"/>
      <c r="E87" s="18"/>
      <c r="F87" s="19"/>
      <c r="G87" s="18"/>
      <c r="H87" s="1"/>
      <c r="I87" s="2"/>
      <c r="J87" s="1"/>
      <c r="K87" s="17"/>
      <c r="L87" s="18"/>
      <c r="M87" s="122"/>
      <c r="N87" s="122"/>
      <c r="T87" s="1"/>
      <c r="U87" s="1"/>
      <c r="V87" s="17"/>
      <c r="W87" s="18"/>
      <c r="X87" s="19"/>
      <c r="Y87" s="18"/>
      <c r="Z87" s="1"/>
      <c r="AA87" s="2"/>
      <c r="AB87" s="1"/>
      <c r="AC87" s="17"/>
      <c r="AD87" s="18"/>
      <c r="AE87" s="18"/>
      <c r="AH87" s="1"/>
      <c r="AI87" s="1"/>
      <c r="AJ87" s="17"/>
      <c r="AK87" s="18"/>
      <c r="AL87" s="19"/>
      <c r="AM87" s="18"/>
      <c r="AN87" s="1"/>
      <c r="AO87" s="2"/>
      <c r="AP87" s="1"/>
      <c r="AQ87" s="17"/>
      <c r="AR87" s="18"/>
      <c r="AS87" s="122"/>
      <c r="AV87" s="9"/>
      <c r="AW87" s="1"/>
      <c r="AX87" s="17"/>
      <c r="AY87" s="18"/>
      <c r="AZ87" s="19"/>
      <c r="BA87" s="18"/>
      <c r="BB87" s="17"/>
      <c r="BC87" s="18"/>
      <c r="BD87" s="17"/>
      <c r="BE87" s="17"/>
      <c r="BF87" s="18"/>
      <c r="BG87" s="9"/>
      <c r="BH87" s="473"/>
      <c r="BI87" s="474"/>
      <c r="BJ87" s="9"/>
      <c r="BK87" s="1"/>
      <c r="BL87" s="17"/>
      <c r="BM87" s="18"/>
      <c r="BN87" s="19"/>
      <c r="BO87" s="18"/>
      <c r="BP87" s="17"/>
      <c r="BQ87" s="18"/>
      <c r="BR87" s="17"/>
      <c r="BS87" s="17"/>
      <c r="BT87" s="18"/>
      <c r="BU87" s="9"/>
    </row>
    <row r="88" spans="2:73" ht="15.75" thickBot="1" x14ac:dyDescent="0.3">
      <c r="B88" s="1"/>
      <c r="C88" s="1"/>
      <c r="D88" s="17"/>
      <c r="E88" s="17"/>
      <c r="F88" s="19"/>
      <c r="G88" s="17"/>
      <c r="H88" s="1"/>
      <c r="I88" s="11"/>
      <c r="J88" s="1"/>
      <c r="K88" s="20" t="s">
        <v>15</v>
      </c>
      <c r="L88" s="21">
        <f>SUM(L80:L86)</f>
        <v>0</v>
      </c>
      <c r="M88" s="122"/>
      <c r="N88" s="122"/>
      <c r="T88" s="1"/>
      <c r="U88" s="1"/>
      <c r="V88" s="1"/>
      <c r="W88" s="1"/>
      <c r="X88" s="19"/>
      <c r="Y88" s="17"/>
      <c r="Z88" s="1"/>
      <c r="AA88" s="11"/>
      <c r="AB88" s="1"/>
      <c r="AC88" s="20" t="s">
        <v>15</v>
      </c>
      <c r="AD88" s="21">
        <f>SUM(AD80:AD86)</f>
        <v>0</v>
      </c>
      <c r="AE88" s="316"/>
      <c r="AH88" s="1"/>
      <c r="AI88" s="1"/>
      <c r="AJ88" s="17"/>
      <c r="AK88" s="1"/>
      <c r="AL88" s="19"/>
      <c r="AM88" s="17"/>
      <c r="AN88" s="1"/>
      <c r="AO88" s="11"/>
      <c r="AP88" s="1"/>
      <c r="AQ88" s="20" t="s">
        <v>15</v>
      </c>
      <c r="AR88" s="21">
        <f>SUM(AR80:AR86)</f>
        <v>0</v>
      </c>
      <c r="AS88" s="122"/>
      <c r="AV88" s="9"/>
      <c r="AW88" s="1"/>
      <c r="AX88" s="17"/>
      <c r="AY88" s="1"/>
      <c r="AZ88" s="19"/>
      <c r="BA88" s="17"/>
      <c r="BB88" s="1"/>
      <c r="BC88" s="11"/>
      <c r="BD88" s="1"/>
      <c r="BE88" s="20" t="s">
        <v>15</v>
      </c>
      <c r="BF88" s="21">
        <f>SUM(BF80:BF86)</f>
        <v>0</v>
      </c>
      <c r="BG88" s="9"/>
      <c r="BH88" s="473"/>
      <c r="BI88" s="474"/>
      <c r="BJ88" s="9"/>
      <c r="BK88" s="1"/>
      <c r="BL88" s="17"/>
      <c r="BM88" s="1"/>
      <c r="BN88" s="19"/>
      <c r="BO88" s="17"/>
      <c r="BP88" s="17"/>
      <c r="BQ88" s="236"/>
      <c r="BR88" s="17"/>
      <c r="BS88" s="20" t="s">
        <v>15</v>
      </c>
      <c r="BT88" s="21">
        <f>SUM(BT80:BT86)</f>
        <v>0</v>
      </c>
      <c r="BU88" s="9"/>
    </row>
    <row r="89" spans="2:73" x14ac:dyDescent="0.25">
      <c r="B89" s="2"/>
      <c r="C89" s="2"/>
      <c r="D89" s="2"/>
      <c r="E89" s="12"/>
      <c r="F89" s="13"/>
      <c r="G89" s="2"/>
      <c r="H89" s="2"/>
      <c r="I89" s="11"/>
      <c r="J89" s="2"/>
      <c r="K89" s="11"/>
      <c r="L89" s="11"/>
      <c r="M89" s="122"/>
      <c r="N89" s="122"/>
      <c r="T89" s="2"/>
      <c r="U89" s="2"/>
      <c r="V89" s="2"/>
      <c r="W89" s="12"/>
      <c r="X89" s="13"/>
      <c r="Y89" s="2"/>
      <c r="Z89" s="2"/>
      <c r="AA89" s="11"/>
      <c r="AB89" s="2"/>
      <c r="AC89" s="11"/>
      <c r="AD89" s="11"/>
      <c r="AE89" s="11"/>
      <c r="AH89" s="2"/>
      <c r="AI89" s="2"/>
      <c r="AJ89" s="2"/>
      <c r="AK89" s="12"/>
      <c r="AL89" s="13"/>
      <c r="AM89" s="2"/>
      <c r="AN89" s="2"/>
      <c r="AO89" s="11"/>
      <c r="AP89" s="2"/>
      <c r="AQ89" s="11"/>
      <c r="AR89" s="11"/>
      <c r="AS89" s="122"/>
      <c r="AV89" s="9"/>
      <c r="AW89" s="2"/>
      <c r="AX89" s="18"/>
      <c r="AY89" s="235"/>
      <c r="AZ89" s="234"/>
      <c r="BA89" s="18"/>
      <c r="BB89" s="18"/>
      <c r="BC89" s="236"/>
      <c r="BD89" s="18"/>
      <c r="BE89" s="236"/>
      <c r="BF89" s="236"/>
      <c r="BG89" s="9"/>
      <c r="BH89" s="473"/>
      <c r="BI89" s="474"/>
      <c r="BJ89" s="9"/>
      <c r="BK89" s="2"/>
      <c r="BL89" s="18"/>
      <c r="BM89" s="235"/>
      <c r="BN89" s="234"/>
      <c r="BO89" s="18"/>
      <c r="BP89" s="18"/>
      <c r="BQ89" s="236"/>
      <c r="BR89" s="18"/>
      <c r="BS89" s="236"/>
      <c r="BT89" s="236"/>
      <c r="BU89" s="9"/>
    </row>
    <row r="90" spans="2:73" x14ac:dyDescent="0.25">
      <c r="B90" s="33"/>
      <c r="C90" s="33" t="s">
        <v>21</v>
      </c>
      <c r="D90" s="2"/>
      <c r="E90" s="13" t="s">
        <v>5</v>
      </c>
      <c r="F90" s="22" t="s">
        <v>97</v>
      </c>
      <c r="G90" s="6" t="s">
        <v>8</v>
      </c>
      <c r="H90" s="2"/>
      <c r="I90" s="3" t="s">
        <v>13</v>
      </c>
      <c r="J90" s="2"/>
      <c r="K90" s="2"/>
      <c r="L90" s="12" t="s">
        <v>16</v>
      </c>
      <c r="M90" s="122"/>
      <c r="N90" s="122"/>
      <c r="T90" s="33"/>
      <c r="U90" s="33" t="s">
        <v>21</v>
      </c>
      <c r="V90" s="2"/>
      <c r="W90" s="13" t="s">
        <v>5</v>
      </c>
      <c r="X90" s="22" t="s">
        <v>97</v>
      </c>
      <c r="Y90" s="6" t="s">
        <v>8</v>
      </c>
      <c r="Z90" s="2"/>
      <c r="AA90" s="3" t="s">
        <v>13</v>
      </c>
      <c r="AB90" s="2"/>
      <c r="AC90" s="2"/>
      <c r="AD90" s="12" t="s">
        <v>16</v>
      </c>
      <c r="AE90" s="12"/>
      <c r="AH90" s="33"/>
      <c r="AI90" s="33" t="s">
        <v>21</v>
      </c>
      <c r="AJ90" s="2"/>
      <c r="AK90" s="13" t="s">
        <v>5</v>
      </c>
      <c r="AL90" s="22" t="s">
        <v>97</v>
      </c>
      <c r="AM90" s="6" t="s">
        <v>8</v>
      </c>
      <c r="AN90" s="2"/>
      <c r="AO90" s="3" t="s">
        <v>13</v>
      </c>
      <c r="AP90" s="2"/>
      <c r="AQ90" s="2"/>
      <c r="AR90" s="12" t="s">
        <v>16</v>
      </c>
      <c r="AS90" s="122"/>
      <c r="AV90" s="9"/>
      <c r="AW90" s="33" t="s">
        <v>21</v>
      </c>
      <c r="AX90" s="18"/>
      <c r="AY90" s="234" t="s">
        <v>5</v>
      </c>
      <c r="AZ90" s="237" t="s">
        <v>97</v>
      </c>
      <c r="BA90" s="238" t="s">
        <v>8</v>
      </c>
      <c r="BB90" s="18"/>
      <c r="BC90" s="19" t="s">
        <v>13</v>
      </c>
      <c r="BD90" s="18"/>
      <c r="BE90" s="18"/>
      <c r="BF90" s="235" t="s">
        <v>16</v>
      </c>
      <c r="BG90" s="9"/>
      <c r="BH90" s="473"/>
      <c r="BI90" s="474"/>
      <c r="BJ90" s="9"/>
      <c r="BK90" s="33" t="s">
        <v>21</v>
      </c>
      <c r="BL90" s="18"/>
      <c r="BM90" s="234" t="s">
        <v>5</v>
      </c>
      <c r="BN90" s="237" t="s">
        <v>97</v>
      </c>
      <c r="BO90" s="238" t="s">
        <v>8</v>
      </c>
      <c r="BP90" s="18"/>
      <c r="BQ90" s="19" t="s">
        <v>13</v>
      </c>
      <c r="BR90" s="18"/>
      <c r="BS90" s="18"/>
      <c r="BT90" s="235" t="s">
        <v>16</v>
      </c>
      <c r="BU90" s="9"/>
    </row>
    <row r="91" spans="2:73" x14ac:dyDescent="0.25">
      <c r="B91" s="2"/>
      <c r="C91" s="2"/>
      <c r="D91" s="219"/>
      <c r="E91" s="220"/>
      <c r="F91" s="221"/>
      <c r="G91" s="224">
        <f>E91*F91/1000</f>
        <v>0</v>
      </c>
      <c r="H91" s="2"/>
      <c r="I91" s="217"/>
      <c r="J91" s="2"/>
      <c r="K91" s="2"/>
      <c r="L91" s="8">
        <f>G91*I91</f>
        <v>0</v>
      </c>
      <c r="M91" s="122"/>
      <c r="N91" s="122"/>
      <c r="T91" s="2"/>
      <c r="U91" s="2"/>
      <c r="V91" s="228">
        <f t="shared" ref="V91:X96" si="90">D91</f>
        <v>0</v>
      </c>
      <c r="W91" s="224">
        <f t="shared" si="90"/>
        <v>0</v>
      </c>
      <c r="X91" s="229">
        <f t="shared" si="90"/>
        <v>0</v>
      </c>
      <c r="Y91" s="224">
        <f>W91*X91/1000</f>
        <v>0</v>
      </c>
      <c r="Z91" s="2"/>
      <c r="AA91" s="226">
        <f t="shared" ref="AA91:AA96" si="91">I91</f>
        <v>0</v>
      </c>
      <c r="AB91" s="2"/>
      <c r="AC91" s="2"/>
      <c r="AD91" s="224">
        <f>Y91*AA91</f>
        <v>0</v>
      </c>
      <c r="AE91" s="315"/>
      <c r="AH91" s="2"/>
      <c r="AI91" s="2"/>
      <c r="AJ91" s="228">
        <f t="shared" ref="AJ91:AL96" si="92">D91</f>
        <v>0</v>
      </c>
      <c r="AK91" s="224">
        <f t="shared" si="92"/>
        <v>0</v>
      </c>
      <c r="AL91" s="229">
        <f t="shared" si="92"/>
        <v>0</v>
      </c>
      <c r="AM91" s="224">
        <f>AK91*AL91/1000</f>
        <v>0</v>
      </c>
      <c r="AN91" s="2"/>
      <c r="AO91" s="226">
        <f t="shared" ref="AO91:AO96" si="93">I91</f>
        <v>0</v>
      </c>
      <c r="AP91" s="18"/>
      <c r="AQ91" s="18"/>
      <c r="AR91" s="224">
        <f>AM91*AO91</f>
        <v>0</v>
      </c>
      <c r="AS91" s="122"/>
      <c r="AV91" s="9"/>
      <c r="AW91" s="2"/>
      <c r="AX91" s="433">
        <f t="shared" ref="AX91:AZ96" si="94">D91</f>
        <v>0</v>
      </c>
      <c r="AY91" s="434">
        <f t="shared" si="94"/>
        <v>0</v>
      </c>
      <c r="AZ91" s="435">
        <f t="shared" si="94"/>
        <v>0</v>
      </c>
      <c r="BA91" s="8">
        <f>AY91*AZ91/1000</f>
        <v>0</v>
      </c>
      <c r="BB91" s="18"/>
      <c r="BC91" s="432">
        <f t="shared" ref="BC91:BC96" si="95">I91</f>
        <v>0</v>
      </c>
      <c r="BD91" s="18"/>
      <c r="BE91" s="18"/>
      <c r="BF91" s="8">
        <f>BA91*BC91</f>
        <v>0</v>
      </c>
      <c r="BG91" s="9"/>
      <c r="BH91" s="473"/>
      <c r="BI91" s="474"/>
      <c r="BJ91" s="9"/>
      <c r="BK91" s="2"/>
      <c r="BL91" s="433">
        <f>D91</f>
        <v>0</v>
      </c>
      <c r="BM91" s="434">
        <f>E91</f>
        <v>0</v>
      </c>
      <c r="BN91" s="435">
        <f>F91</f>
        <v>0</v>
      </c>
      <c r="BO91" s="8">
        <f>BM91*BN91/1000</f>
        <v>0</v>
      </c>
      <c r="BP91" s="18"/>
      <c r="BQ91" s="432">
        <f>I91</f>
        <v>0</v>
      </c>
      <c r="BR91" s="18"/>
      <c r="BS91" s="18"/>
      <c r="BT91" s="8">
        <f>BO91*BQ91</f>
        <v>0</v>
      </c>
      <c r="BU91" s="9"/>
    </row>
    <row r="92" spans="2:73" x14ac:dyDescent="0.25">
      <c r="B92" s="2"/>
      <c r="C92" s="2"/>
      <c r="D92" s="219"/>
      <c r="E92" s="220"/>
      <c r="F92" s="221"/>
      <c r="G92" s="224">
        <f>E92*F92/1000</f>
        <v>0</v>
      </c>
      <c r="H92" s="2"/>
      <c r="I92" s="217"/>
      <c r="J92" s="2"/>
      <c r="K92" s="2"/>
      <c r="L92" s="8">
        <f>G92*I92</f>
        <v>0</v>
      </c>
      <c r="M92" s="122"/>
      <c r="N92" s="122"/>
      <c r="T92" s="2"/>
      <c r="U92" s="2"/>
      <c r="V92" s="228">
        <f t="shared" si="90"/>
        <v>0</v>
      </c>
      <c r="W92" s="224">
        <f t="shared" si="90"/>
        <v>0</v>
      </c>
      <c r="X92" s="229">
        <f t="shared" si="90"/>
        <v>0</v>
      </c>
      <c r="Y92" s="224">
        <f>W92*X92/1000</f>
        <v>0</v>
      </c>
      <c r="Z92" s="2"/>
      <c r="AA92" s="226">
        <f t="shared" si="91"/>
        <v>0</v>
      </c>
      <c r="AB92" s="2"/>
      <c r="AC92" s="2"/>
      <c r="AD92" s="224">
        <f>Y92*AA92</f>
        <v>0</v>
      </c>
      <c r="AE92" s="315"/>
      <c r="AH92" s="2"/>
      <c r="AI92" s="2"/>
      <c r="AJ92" s="228">
        <f t="shared" si="92"/>
        <v>0</v>
      </c>
      <c r="AK92" s="224">
        <f t="shared" si="92"/>
        <v>0</v>
      </c>
      <c r="AL92" s="229">
        <f t="shared" si="92"/>
        <v>0</v>
      </c>
      <c r="AM92" s="224">
        <f t="shared" ref="AM92:AM96" si="96">AK92*AL92/1000</f>
        <v>0</v>
      </c>
      <c r="AN92" s="2"/>
      <c r="AO92" s="226">
        <f t="shared" si="93"/>
        <v>0</v>
      </c>
      <c r="AP92" s="18"/>
      <c r="AQ92" s="18"/>
      <c r="AR92" s="224">
        <f>AM92*AO92</f>
        <v>0</v>
      </c>
      <c r="AS92" s="122"/>
      <c r="AV92" s="9"/>
      <c r="AW92" s="2"/>
      <c r="AX92" s="433">
        <f t="shared" si="94"/>
        <v>0</v>
      </c>
      <c r="AY92" s="434">
        <f t="shared" si="94"/>
        <v>0</v>
      </c>
      <c r="AZ92" s="435">
        <f t="shared" si="94"/>
        <v>0</v>
      </c>
      <c r="BA92" s="8">
        <f t="shared" ref="BA92:BA96" si="97">AY92*AZ92/1000</f>
        <v>0</v>
      </c>
      <c r="BB92" s="18"/>
      <c r="BC92" s="432">
        <f t="shared" si="95"/>
        <v>0</v>
      </c>
      <c r="BD92" s="18"/>
      <c r="BE92" s="18"/>
      <c r="BF92" s="8">
        <f>BA92*BC92</f>
        <v>0</v>
      </c>
      <c r="BG92" s="9"/>
      <c r="BH92" s="473"/>
      <c r="BI92" s="474"/>
      <c r="BJ92" s="9"/>
      <c r="BK92" s="2"/>
      <c r="BL92" s="433">
        <f t="shared" ref="BL92:BL96" si="98">D92</f>
        <v>0</v>
      </c>
      <c r="BM92" s="434">
        <f t="shared" ref="BM92:BM96" si="99">E92</f>
        <v>0</v>
      </c>
      <c r="BN92" s="435">
        <f t="shared" ref="BN92:BN96" si="100">F92</f>
        <v>0</v>
      </c>
      <c r="BO92" s="8">
        <f t="shared" ref="BO92:BO96" si="101">BM92*BN92/1000</f>
        <v>0</v>
      </c>
      <c r="BP92" s="18"/>
      <c r="BQ92" s="432">
        <f t="shared" ref="BQ92:BQ96" si="102">I92</f>
        <v>0</v>
      </c>
      <c r="BR92" s="18"/>
      <c r="BS92" s="18"/>
      <c r="BT92" s="8">
        <f>BO92*BQ92</f>
        <v>0</v>
      </c>
      <c r="BU92" s="9"/>
    </row>
    <row r="93" spans="2:73" x14ac:dyDescent="0.25">
      <c r="B93" s="2"/>
      <c r="C93" s="2"/>
      <c r="D93" s="219"/>
      <c r="E93" s="220"/>
      <c r="F93" s="221"/>
      <c r="G93" s="224">
        <f>E93*F93/1000</f>
        <v>0</v>
      </c>
      <c r="H93" s="2"/>
      <c r="I93" s="217"/>
      <c r="J93" s="2"/>
      <c r="K93" s="2"/>
      <c r="L93" s="8">
        <f>G93*I93</f>
        <v>0</v>
      </c>
      <c r="M93" s="122"/>
      <c r="N93" s="122"/>
      <c r="T93" s="2"/>
      <c r="U93" s="2"/>
      <c r="V93" s="228">
        <f t="shared" si="90"/>
        <v>0</v>
      </c>
      <c r="W93" s="224">
        <f t="shared" si="90"/>
        <v>0</v>
      </c>
      <c r="X93" s="229">
        <f t="shared" si="90"/>
        <v>0</v>
      </c>
      <c r="Y93" s="224">
        <f>W93*X93/1000</f>
        <v>0</v>
      </c>
      <c r="Z93" s="2"/>
      <c r="AA93" s="226">
        <f t="shared" si="91"/>
        <v>0</v>
      </c>
      <c r="AB93" s="2"/>
      <c r="AC93" s="2"/>
      <c r="AD93" s="224">
        <f>Y93*AA93</f>
        <v>0</v>
      </c>
      <c r="AE93" s="315"/>
      <c r="AH93" s="2"/>
      <c r="AI93" s="2"/>
      <c r="AJ93" s="228">
        <f t="shared" si="92"/>
        <v>0</v>
      </c>
      <c r="AK93" s="224">
        <f t="shared" si="92"/>
        <v>0</v>
      </c>
      <c r="AL93" s="229">
        <f t="shared" si="92"/>
        <v>0</v>
      </c>
      <c r="AM93" s="224">
        <f t="shared" si="96"/>
        <v>0</v>
      </c>
      <c r="AN93" s="2"/>
      <c r="AO93" s="226">
        <f t="shared" si="93"/>
        <v>0</v>
      </c>
      <c r="AP93" s="18"/>
      <c r="AQ93" s="18"/>
      <c r="AR93" s="224">
        <f>AM93*AO93</f>
        <v>0</v>
      </c>
      <c r="AS93" s="122"/>
      <c r="AV93" s="9"/>
      <c r="AW93" s="2"/>
      <c r="AX93" s="433">
        <f t="shared" si="94"/>
        <v>0</v>
      </c>
      <c r="AY93" s="434">
        <f t="shared" si="94"/>
        <v>0</v>
      </c>
      <c r="AZ93" s="435">
        <f t="shared" si="94"/>
        <v>0</v>
      </c>
      <c r="BA93" s="8">
        <f t="shared" si="97"/>
        <v>0</v>
      </c>
      <c r="BB93" s="18"/>
      <c r="BC93" s="432">
        <f t="shared" si="95"/>
        <v>0</v>
      </c>
      <c r="BD93" s="18"/>
      <c r="BE93" s="18"/>
      <c r="BF93" s="8">
        <f>BA93*BC93</f>
        <v>0</v>
      </c>
      <c r="BG93" s="9"/>
      <c r="BH93" s="473"/>
      <c r="BI93" s="474"/>
      <c r="BJ93" s="9"/>
      <c r="BK93" s="2"/>
      <c r="BL93" s="433">
        <f t="shared" si="98"/>
        <v>0</v>
      </c>
      <c r="BM93" s="434">
        <f t="shared" si="99"/>
        <v>0</v>
      </c>
      <c r="BN93" s="435">
        <f t="shared" si="100"/>
        <v>0</v>
      </c>
      <c r="BO93" s="8">
        <f t="shared" si="101"/>
        <v>0</v>
      </c>
      <c r="BP93" s="18"/>
      <c r="BQ93" s="432">
        <f t="shared" si="102"/>
        <v>0</v>
      </c>
      <c r="BR93" s="18"/>
      <c r="BS93" s="18"/>
      <c r="BT93" s="8">
        <f>BO93*BQ93</f>
        <v>0</v>
      </c>
      <c r="BU93" s="9"/>
    </row>
    <row r="94" spans="2:73" x14ac:dyDescent="0.25">
      <c r="B94" s="2"/>
      <c r="C94" s="2"/>
      <c r="D94" s="222"/>
      <c r="E94" s="220"/>
      <c r="F94" s="221"/>
      <c r="G94" s="224">
        <f t="shared" ref="G94:G96" si="103">E94*F94/1000</f>
        <v>0</v>
      </c>
      <c r="H94" s="2"/>
      <c r="I94" s="217"/>
      <c r="J94" s="2"/>
      <c r="K94" s="2"/>
      <c r="L94" s="8">
        <f t="shared" ref="L94:L96" si="104">G94*I94</f>
        <v>0</v>
      </c>
      <c r="M94" s="122"/>
      <c r="N94" s="122"/>
      <c r="T94" s="2"/>
      <c r="U94" s="2"/>
      <c r="V94" s="228">
        <f t="shared" si="90"/>
        <v>0</v>
      </c>
      <c r="W94" s="224">
        <f t="shared" si="90"/>
        <v>0</v>
      </c>
      <c r="X94" s="229">
        <f t="shared" si="90"/>
        <v>0</v>
      </c>
      <c r="Y94" s="224">
        <f t="shared" ref="Y94:Y96" si="105">W94*X94/1000</f>
        <v>0</v>
      </c>
      <c r="Z94" s="2"/>
      <c r="AA94" s="226">
        <f t="shared" si="91"/>
        <v>0</v>
      </c>
      <c r="AB94" s="2"/>
      <c r="AC94" s="2"/>
      <c r="AD94" s="224">
        <f t="shared" ref="AD94:AD96" si="106">Y94*AA94</f>
        <v>0</v>
      </c>
      <c r="AE94" s="315"/>
      <c r="AH94" s="2"/>
      <c r="AI94" s="2"/>
      <c r="AJ94" s="228">
        <f t="shared" si="92"/>
        <v>0</v>
      </c>
      <c r="AK94" s="224">
        <f t="shared" si="92"/>
        <v>0</v>
      </c>
      <c r="AL94" s="229">
        <f t="shared" si="92"/>
        <v>0</v>
      </c>
      <c r="AM94" s="224">
        <f t="shared" si="96"/>
        <v>0</v>
      </c>
      <c r="AN94" s="2"/>
      <c r="AO94" s="226">
        <f t="shared" si="93"/>
        <v>0</v>
      </c>
      <c r="AP94" s="18"/>
      <c r="AQ94" s="18"/>
      <c r="AR94" s="224">
        <f t="shared" ref="AR94:AR96" si="107">AM94*AO94</f>
        <v>0</v>
      </c>
      <c r="AS94" s="122"/>
      <c r="AV94" s="9"/>
      <c r="AW94" s="2"/>
      <c r="AX94" s="433">
        <f t="shared" si="94"/>
        <v>0</v>
      </c>
      <c r="AY94" s="434">
        <f t="shared" si="94"/>
        <v>0</v>
      </c>
      <c r="AZ94" s="435">
        <f t="shared" si="94"/>
        <v>0</v>
      </c>
      <c r="BA94" s="8">
        <f t="shared" si="97"/>
        <v>0</v>
      </c>
      <c r="BB94" s="18"/>
      <c r="BC94" s="432">
        <f t="shared" si="95"/>
        <v>0</v>
      </c>
      <c r="BD94" s="18"/>
      <c r="BE94" s="18"/>
      <c r="BF94" s="8">
        <f t="shared" ref="BF94:BF96" si="108">BA94*BC94</f>
        <v>0</v>
      </c>
      <c r="BG94" s="9"/>
      <c r="BH94" s="473"/>
      <c r="BI94" s="474"/>
      <c r="BJ94" s="9"/>
      <c r="BK94" s="2"/>
      <c r="BL94" s="433">
        <f t="shared" si="98"/>
        <v>0</v>
      </c>
      <c r="BM94" s="434">
        <f t="shared" si="99"/>
        <v>0</v>
      </c>
      <c r="BN94" s="435">
        <f t="shared" si="100"/>
        <v>0</v>
      </c>
      <c r="BO94" s="8">
        <f t="shared" si="101"/>
        <v>0</v>
      </c>
      <c r="BP94" s="18"/>
      <c r="BQ94" s="432">
        <f t="shared" si="102"/>
        <v>0</v>
      </c>
      <c r="BR94" s="18"/>
      <c r="BS94" s="18"/>
      <c r="BT94" s="8">
        <f t="shared" ref="BT94:BT96" si="109">BO94*BQ94</f>
        <v>0</v>
      </c>
      <c r="BU94" s="9"/>
    </row>
    <row r="95" spans="2:73" x14ac:dyDescent="0.25">
      <c r="B95" s="2"/>
      <c r="C95" s="2"/>
      <c r="D95" s="216"/>
      <c r="E95" s="220"/>
      <c r="F95" s="220"/>
      <c r="G95" s="224">
        <f t="shared" si="103"/>
        <v>0</v>
      </c>
      <c r="H95" s="2"/>
      <c r="I95" s="217"/>
      <c r="J95" s="2"/>
      <c r="K95" s="2"/>
      <c r="L95" s="8">
        <f t="shared" si="104"/>
        <v>0</v>
      </c>
      <c r="M95" s="122"/>
      <c r="N95" s="122"/>
      <c r="T95" s="2"/>
      <c r="U95" s="2"/>
      <c r="V95" s="228">
        <f t="shared" si="90"/>
        <v>0</v>
      </c>
      <c r="W95" s="224">
        <f t="shared" si="90"/>
        <v>0</v>
      </c>
      <c r="X95" s="229">
        <f t="shared" si="90"/>
        <v>0</v>
      </c>
      <c r="Y95" s="224">
        <f t="shared" si="105"/>
        <v>0</v>
      </c>
      <c r="Z95" s="2"/>
      <c r="AA95" s="226">
        <f t="shared" si="91"/>
        <v>0</v>
      </c>
      <c r="AB95" s="2"/>
      <c r="AC95" s="2"/>
      <c r="AD95" s="224">
        <f t="shared" si="106"/>
        <v>0</v>
      </c>
      <c r="AE95" s="315"/>
      <c r="AH95" s="2"/>
      <c r="AI95" s="2"/>
      <c r="AJ95" s="228">
        <f t="shared" si="92"/>
        <v>0</v>
      </c>
      <c r="AK95" s="224">
        <f t="shared" si="92"/>
        <v>0</v>
      </c>
      <c r="AL95" s="229">
        <f t="shared" si="92"/>
        <v>0</v>
      </c>
      <c r="AM95" s="224">
        <f t="shared" si="96"/>
        <v>0</v>
      </c>
      <c r="AN95" s="2"/>
      <c r="AO95" s="226">
        <f t="shared" si="93"/>
        <v>0</v>
      </c>
      <c r="AP95" s="18"/>
      <c r="AQ95" s="18"/>
      <c r="AR95" s="224">
        <f t="shared" si="107"/>
        <v>0</v>
      </c>
      <c r="AS95" s="122"/>
      <c r="AV95" s="9"/>
      <c r="AW95" s="2"/>
      <c r="AX95" s="433">
        <f t="shared" si="94"/>
        <v>0</v>
      </c>
      <c r="AY95" s="434">
        <f t="shared" si="94"/>
        <v>0</v>
      </c>
      <c r="AZ95" s="435">
        <f t="shared" si="94"/>
        <v>0</v>
      </c>
      <c r="BA95" s="8">
        <f t="shared" si="97"/>
        <v>0</v>
      </c>
      <c r="BB95" s="18"/>
      <c r="BC95" s="432">
        <f t="shared" si="95"/>
        <v>0</v>
      </c>
      <c r="BD95" s="18"/>
      <c r="BE95" s="18"/>
      <c r="BF95" s="8">
        <f t="shared" si="108"/>
        <v>0</v>
      </c>
      <c r="BG95" s="9"/>
      <c r="BH95" s="473"/>
      <c r="BI95" s="474"/>
      <c r="BJ95" s="9"/>
      <c r="BK95" s="2"/>
      <c r="BL95" s="433">
        <f t="shared" si="98"/>
        <v>0</v>
      </c>
      <c r="BM95" s="434">
        <f t="shared" si="99"/>
        <v>0</v>
      </c>
      <c r="BN95" s="435">
        <f t="shared" si="100"/>
        <v>0</v>
      </c>
      <c r="BO95" s="8">
        <f t="shared" si="101"/>
        <v>0</v>
      </c>
      <c r="BP95" s="18"/>
      <c r="BQ95" s="432">
        <f t="shared" si="102"/>
        <v>0</v>
      </c>
      <c r="BR95" s="18"/>
      <c r="BS95" s="18"/>
      <c r="BT95" s="8">
        <f t="shared" si="109"/>
        <v>0</v>
      </c>
      <c r="BU95" s="9"/>
    </row>
    <row r="96" spans="2:73" x14ac:dyDescent="0.25">
      <c r="B96" s="2"/>
      <c r="C96" s="2"/>
      <c r="D96" s="216"/>
      <c r="E96" s="223"/>
      <c r="F96" s="220"/>
      <c r="G96" s="224">
        <f t="shared" si="103"/>
        <v>0</v>
      </c>
      <c r="H96" s="2"/>
      <c r="I96" s="217"/>
      <c r="J96" s="2"/>
      <c r="K96" s="2"/>
      <c r="L96" s="8">
        <f t="shared" si="104"/>
        <v>0</v>
      </c>
      <c r="M96" s="122"/>
      <c r="N96" s="122"/>
      <c r="T96" s="2"/>
      <c r="U96" s="2"/>
      <c r="V96" s="228">
        <f t="shared" si="90"/>
        <v>0</v>
      </c>
      <c r="W96" s="224">
        <f t="shared" si="90"/>
        <v>0</v>
      </c>
      <c r="X96" s="229">
        <f t="shared" si="90"/>
        <v>0</v>
      </c>
      <c r="Y96" s="224">
        <f t="shared" si="105"/>
        <v>0</v>
      </c>
      <c r="Z96" s="2"/>
      <c r="AA96" s="226">
        <f t="shared" si="91"/>
        <v>0</v>
      </c>
      <c r="AB96" s="2"/>
      <c r="AC96" s="2"/>
      <c r="AD96" s="224">
        <f t="shared" si="106"/>
        <v>0</v>
      </c>
      <c r="AE96" s="315"/>
      <c r="AH96" s="2"/>
      <c r="AI96" s="2"/>
      <c r="AJ96" s="228">
        <f t="shared" si="92"/>
        <v>0</v>
      </c>
      <c r="AK96" s="224">
        <f t="shared" si="92"/>
        <v>0</v>
      </c>
      <c r="AL96" s="229">
        <f t="shared" si="92"/>
        <v>0</v>
      </c>
      <c r="AM96" s="224">
        <f t="shared" si="96"/>
        <v>0</v>
      </c>
      <c r="AN96" s="2"/>
      <c r="AO96" s="226">
        <f t="shared" si="93"/>
        <v>0</v>
      </c>
      <c r="AP96" s="18"/>
      <c r="AQ96" s="18"/>
      <c r="AR96" s="224">
        <f t="shared" si="107"/>
        <v>0</v>
      </c>
      <c r="AS96" s="122"/>
      <c r="AV96" s="9"/>
      <c r="AW96" s="2"/>
      <c r="AX96" s="433">
        <f t="shared" si="94"/>
        <v>0</v>
      </c>
      <c r="AY96" s="434">
        <f t="shared" si="94"/>
        <v>0</v>
      </c>
      <c r="AZ96" s="435">
        <f t="shared" si="94"/>
        <v>0</v>
      </c>
      <c r="BA96" s="8">
        <f t="shared" si="97"/>
        <v>0</v>
      </c>
      <c r="BB96" s="18"/>
      <c r="BC96" s="432">
        <f t="shared" si="95"/>
        <v>0</v>
      </c>
      <c r="BD96" s="18"/>
      <c r="BE96" s="18"/>
      <c r="BF96" s="8">
        <f t="shared" si="108"/>
        <v>0</v>
      </c>
      <c r="BG96" s="9"/>
      <c r="BH96" s="473"/>
      <c r="BI96" s="474"/>
      <c r="BJ96" s="9"/>
      <c r="BK96" s="2"/>
      <c r="BL96" s="433">
        <f t="shared" si="98"/>
        <v>0</v>
      </c>
      <c r="BM96" s="434">
        <f t="shared" si="99"/>
        <v>0</v>
      </c>
      <c r="BN96" s="435">
        <f t="shared" si="100"/>
        <v>0</v>
      </c>
      <c r="BO96" s="8">
        <f t="shared" si="101"/>
        <v>0</v>
      </c>
      <c r="BP96" s="18"/>
      <c r="BQ96" s="432">
        <f t="shared" si="102"/>
        <v>0</v>
      </c>
      <c r="BR96" s="18"/>
      <c r="BS96" s="18"/>
      <c r="BT96" s="8">
        <f t="shared" si="109"/>
        <v>0</v>
      </c>
      <c r="BU96" s="9"/>
    </row>
    <row r="97" spans="1:75" x14ac:dyDescent="0.25">
      <c r="B97" s="2"/>
      <c r="C97" s="2"/>
      <c r="D97" s="303" t="s">
        <v>261</v>
      </c>
      <c r="E97" s="220"/>
      <c r="F97" s="13"/>
      <c r="G97" s="2"/>
      <c r="H97" s="2"/>
      <c r="I97" s="2"/>
      <c r="J97" s="2"/>
      <c r="K97" s="2"/>
      <c r="L97" s="18"/>
      <c r="M97" s="122"/>
      <c r="N97" s="122"/>
      <c r="T97" s="2"/>
      <c r="U97" s="2"/>
      <c r="V97" s="225" t="s">
        <v>261</v>
      </c>
      <c r="W97" s="224" t="e">
        <f ca="1">$E$97*(Lähtötiedot!G8+Lähtötiedot!G26)/(Lähtötiedot!$C$8+Lähtötiedot!$C$26)</f>
        <v>#N/A</v>
      </c>
      <c r="X97" s="13"/>
      <c r="Y97" s="2"/>
      <c r="Z97" s="2"/>
      <c r="AA97" s="2"/>
      <c r="AB97" s="2"/>
      <c r="AC97" s="2"/>
      <c r="AD97" s="18"/>
      <c r="AE97" s="18"/>
      <c r="AH97" s="2"/>
      <c r="AI97" s="2"/>
      <c r="AJ97" s="225" t="s">
        <v>261</v>
      </c>
      <c r="AK97" s="224" t="e">
        <f ca="1">$E$97*(Lähtötiedot!K8+Lähtötiedot!K27)/(Lähtötiedot!$C$8+Lähtötiedot!$C$26)</f>
        <v>#N/A</v>
      </c>
      <c r="AL97" s="234"/>
      <c r="AM97" s="18"/>
      <c r="AN97" s="2"/>
      <c r="AO97" s="18"/>
      <c r="AP97" s="18"/>
      <c r="AQ97" s="18"/>
      <c r="AR97" s="18"/>
      <c r="AS97" s="122"/>
      <c r="AV97" s="9"/>
      <c r="AW97" s="2"/>
      <c r="AX97" s="14" t="s">
        <v>261</v>
      </c>
      <c r="AY97" s="8" t="e">
        <f>$E$97*(Lähtötiedot!O8+Lähtötiedot!O26)/(Lähtötiedot!$C$8+Lähtötiedot!$C$26)</f>
        <v>#DIV/0!</v>
      </c>
      <c r="AZ97" s="234"/>
      <c r="BA97" s="18"/>
      <c r="BB97" s="18"/>
      <c r="BC97" s="18"/>
      <c r="BD97" s="18"/>
      <c r="BE97" s="18"/>
      <c r="BF97" s="18"/>
      <c r="BG97" s="9"/>
      <c r="BH97" s="473"/>
      <c r="BI97" s="474"/>
      <c r="BJ97" s="9"/>
      <c r="BK97" s="2"/>
      <c r="BL97" s="14" t="s">
        <v>261</v>
      </c>
      <c r="BM97" s="8" t="e">
        <f ca="1">$E$97*(Lähtötiedot!S8+Lähtötiedot!S27)/(Lähtötiedot!$C$8+Lähtötiedot!$C$26)</f>
        <v>#N/A</v>
      </c>
      <c r="BN97" s="234"/>
      <c r="BO97" s="18"/>
      <c r="BP97" s="18"/>
      <c r="BQ97" s="18"/>
      <c r="BR97" s="18"/>
      <c r="BS97" s="18"/>
      <c r="BT97" s="18"/>
      <c r="BU97" s="9"/>
    </row>
    <row r="98" spans="1:75" s="122" customFormat="1" x14ac:dyDescent="0.25">
      <c r="A98" s="308"/>
      <c r="B98" s="2"/>
      <c r="C98" s="2"/>
      <c r="D98" s="304" t="s">
        <v>262</v>
      </c>
      <c r="E98" s="220"/>
      <c r="F98" s="13"/>
      <c r="G98" s="2"/>
      <c r="H98" s="2"/>
      <c r="I98" s="2"/>
      <c r="J98" s="2"/>
      <c r="K98" s="2"/>
      <c r="L98" s="18"/>
      <c r="R98" s="308"/>
      <c r="S98" s="311"/>
      <c r="T98" s="2"/>
      <c r="U98" s="2"/>
      <c r="V98" s="230" t="s">
        <v>262</v>
      </c>
      <c r="W98" s="224" t="e">
        <f ca="1">$E$98*(Lähtötiedot!G16+(Lähtötiedot!G17*Ruokinta!X43)+(Ruokinta!X33*Lähtötiedot!G18))/(Lähtötiedot!$C$16+(Lähtötiedot!$C$17*Ruokinta!$F$37)+(Ruokinta!$F$53*Lähtötiedot!$C$18))</f>
        <v>#N/A</v>
      </c>
      <c r="X98" s="13"/>
      <c r="Y98" s="2"/>
      <c r="Z98" s="2"/>
      <c r="AA98" s="2"/>
      <c r="AB98" s="2"/>
      <c r="AC98" s="2"/>
      <c r="AD98" s="18"/>
      <c r="AE98" s="18"/>
      <c r="AF98" s="311"/>
      <c r="AG98" s="308"/>
      <c r="AH98" s="2"/>
      <c r="AI98" s="2"/>
      <c r="AJ98" s="230" t="s">
        <v>262</v>
      </c>
      <c r="AK98" s="224" t="e">
        <f ca="1">$E$98*(Lähtötiedot!K16+(Lähtötiedot!K17*Ruokinta!AL43)+(Ruokinta!AL33*Lähtötiedot!K18))/(Lähtötiedot!$C$16+(Lähtötiedot!$C$17*Ruokinta!$F$37)+(Ruokinta!$F$53*Lähtötiedot!$C$18))</f>
        <v>#N/A</v>
      </c>
      <c r="AL98" s="234"/>
      <c r="AM98" s="18"/>
      <c r="AN98" s="2"/>
      <c r="AO98" s="2"/>
      <c r="AP98" s="2"/>
      <c r="AQ98" s="2"/>
      <c r="AR98" s="18"/>
      <c r="AT98" s="308"/>
      <c r="AU98" s="311"/>
      <c r="AV98" s="9"/>
      <c r="AW98" s="2"/>
      <c r="AX98" s="18" t="s">
        <v>262</v>
      </c>
      <c r="AY98" s="8" t="e">
        <f ca="1">$E$98*(Lähtötiedot!O16+(Lähtötiedot!O17*Ruokinta!AZ43)+(Ruokinta!AZ33*Lähtötiedot!O18))/(Lähtötiedot!$C$16+(Lähtötiedot!$C$17*Ruokinta!$F$37)+(Ruokinta!$F$53*Lähtötiedot!$C$18))</f>
        <v>#N/A</v>
      </c>
      <c r="AZ98" s="234"/>
      <c r="BA98" s="18"/>
      <c r="BB98" s="18"/>
      <c r="BC98" s="18"/>
      <c r="BD98" s="18"/>
      <c r="BE98" s="18"/>
      <c r="BF98" s="18"/>
      <c r="BG98" s="9"/>
      <c r="BH98" s="473"/>
      <c r="BI98" s="474"/>
      <c r="BJ98" s="9"/>
      <c r="BK98" s="2"/>
      <c r="BL98" s="18" t="s">
        <v>262</v>
      </c>
      <c r="BM98" s="8" t="e">
        <f ca="1">$E$98*(Lähtötiedot!S16+(Lähtötiedot!S17*Ruokinta!BN43)+(Ruokinta!BN33*Lähtötiedot!S18))/(Lähtötiedot!$C$16+(Lähtötiedot!$C$17*Ruokinta!$F$37)+(Ruokinta!$F$53*Lähtötiedot!$C$18))</f>
        <v>#N/A</v>
      </c>
      <c r="BN98" s="234"/>
      <c r="BO98" s="18"/>
      <c r="BP98" s="18"/>
      <c r="BQ98" s="18"/>
      <c r="BR98" s="18"/>
      <c r="BS98" s="18"/>
      <c r="BT98" s="18"/>
      <c r="BU98" s="9"/>
      <c r="BV98" s="308"/>
      <c r="BW98" s="311"/>
    </row>
    <row r="99" spans="1:75" ht="15.75" thickBot="1" x14ac:dyDescent="0.3">
      <c r="B99" s="2"/>
      <c r="C99" s="2"/>
      <c r="D99" s="2"/>
      <c r="E99" s="2"/>
      <c r="F99" s="13"/>
      <c r="G99" s="2"/>
      <c r="H99" s="2"/>
      <c r="I99" s="2"/>
      <c r="J99" s="2"/>
      <c r="K99" s="2"/>
      <c r="L99" s="18"/>
      <c r="M99" s="122"/>
      <c r="N99" s="122"/>
      <c r="T99" s="2"/>
      <c r="U99" s="2"/>
      <c r="V99" s="2"/>
      <c r="W99" s="2"/>
      <c r="X99" s="13"/>
      <c r="Y99" s="2"/>
      <c r="Z99" s="2"/>
      <c r="AA99" s="2"/>
      <c r="AB99" s="2"/>
      <c r="AC99" s="2"/>
      <c r="AD99" s="18"/>
      <c r="AE99" s="18"/>
      <c r="AH99" s="2"/>
      <c r="AI99" s="2"/>
      <c r="AJ99" s="2"/>
      <c r="AK99" s="2"/>
      <c r="AL99" s="13"/>
      <c r="AM99" s="2"/>
      <c r="AN99" s="2"/>
      <c r="AO99" s="2"/>
      <c r="AP99" s="2"/>
      <c r="AQ99" s="2"/>
      <c r="AR99" s="18"/>
      <c r="AS99" s="122"/>
      <c r="AV99" s="9"/>
      <c r="AW99" s="2"/>
      <c r="AX99" s="18"/>
      <c r="AY99" s="18"/>
      <c r="AZ99" s="234"/>
      <c r="BA99" s="18"/>
      <c r="BB99" s="18"/>
      <c r="BC99" s="18"/>
      <c r="BD99" s="18"/>
      <c r="BE99" s="18"/>
      <c r="BF99" s="18"/>
      <c r="BG99" s="9"/>
      <c r="BH99" s="473"/>
      <c r="BI99" s="474"/>
      <c r="BJ99" s="9"/>
      <c r="BK99" s="2"/>
      <c r="BL99" s="18"/>
      <c r="BM99" s="18"/>
      <c r="BN99" s="234"/>
      <c r="BO99" s="18"/>
      <c r="BP99" s="18"/>
      <c r="BQ99" s="18"/>
      <c r="BR99" s="18"/>
      <c r="BS99" s="18"/>
      <c r="BT99" s="18"/>
      <c r="BU99" s="9"/>
    </row>
    <row r="100" spans="1:75" ht="15.75" thickBot="1" x14ac:dyDescent="0.3">
      <c r="B100" s="2"/>
      <c r="C100" s="2"/>
      <c r="D100" s="2"/>
      <c r="E100" s="2"/>
      <c r="F100" s="13"/>
      <c r="G100" s="2"/>
      <c r="H100" s="2"/>
      <c r="I100" s="2"/>
      <c r="J100" s="2"/>
      <c r="K100" s="23" t="s">
        <v>17</v>
      </c>
      <c r="L100" s="21">
        <f>SUM(L89:L97)</f>
        <v>0</v>
      </c>
      <c r="M100" s="122"/>
      <c r="N100" s="122"/>
      <c r="T100" s="2"/>
      <c r="U100" s="2"/>
      <c r="V100" s="2"/>
      <c r="W100" s="2"/>
      <c r="X100" s="13"/>
      <c r="Y100" s="2"/>
      <c r="Z100" s="2"/>
      <c r="AA100" s="2"/>
      <c r="AB100" s="2"/>
      <c r="AC100" s="23" t="s">
        <v>17</v>
      </c>
      <c r="AD100" s="21">
        <f>SUM(AD89:AD97)</f>
        <v>0</v>
      </c>
      <c r="AE100" s="316"/>
      <c r="AH100" s="2"/>
      <c r="AI100" s="2"/>
      <c r="AJ100" s="2"/>
      <c r="AK100" s="2"/>
      <c r="AL100" s="13"/>
      <c r="AM100" s="2"/>
      <c r="AN100" s="2"/>
      <c r="AO100" s="2"/>
      <c r="AP100" s="2"/>
      <c r="AQ100" s="23" t="s">
        <v>17</v>
      </c>
      <c r="AR100" s="21">
        <f>SUM(AR89:AR97)</f>
        <v>0</v>
      </c>
      <c r="AS100" s="122"/>
      <c r="AV100" s="9"/>
      <c r="AW100" s="2"/>
      <c r="AX100" s="18"/>
      <c r="AY100" s="18"/>
      <c r="AZ100" s="234"/>
      <c r="BA100" s="18"/>
      <c r="BB100" s="18"/>
      <c r="BC100" s="18"/>
      <c r="BD100" s="18"/>
      <c r="BE100" s="239" t="s">
        <v>17</v>
      </c>
      <c r="BF100" s="21">
        <f>SUM(BF89:BF97)</f>
        <v>0</v>
      </c>
      <c r="BG100" s="9"/>
      <c r="BH100" s="473"/>
      <c r="BI100" s="474"/>
      <c r="BJ100" s="9"/>
      <c r="BK100" s="2"/>
      <c r="BL100" s="18"/>
      <c r="BM100" s="18"/>
      <c r="BN100" s="234"/>
      <c r="BO100" s="18"/>
      <c r="BP100" s="18"/>
      <c r="BQ100" s="18"/>
      <c r="BR100" s="18"/>
      <c r="BS100" s="239" t="s">
        <v>17</v>
      </c>
      <c r="BT100" s="21">
        <f>SUM(BT89:BT97)</f>
        <v>0</v>
      </c>
      <c r="BU100" s="9"/>
    </row>
    <row r="101" spans="1:75" ht="15.75" thickBot="1" x14ac:dyDescent="0.3">
      <c r="B101" s="2"/>
      <c r="C101" s="2"/>
      <c r="D101" s="2"/>
      <c r="E101" s="2"/>
      <c r="F101" s="13"/>
      <c r="G101" s="2"/>
      <c r="H101" s="2"/>
      <c r="I101" s="2"/>
      <c r="J101" s="2"/>
      <c r="K101" s="2"/>
      <c r="L101" s="18"/>
      <c r="M101" s="122"/>
      <c r="N101" s="122"/>
      <c r="T101" s="2"/>
      <c r="U101" s="2"/>
      <c r="V101" s="2"/>
      <c r="W101" s="2"/>
      <c r="X101" s="13"/>
      <c r="Y101" s="2"/>
      <c r="Z101" s="2"/>
      <c r="AA101" s="2"/>
      <c r="AB101" s="2"/>
      <c r="AC101" s="2"/>
      <c r="AD101" s="18"/>
      <c r="AE101" s="18"/>
      <c r="AH101" s="2"/>
      <c r="AI101" s="2"/>
      <c r="AJ101" s="2"/>
      <c r="AK101" s="2"/>
      <c r="AL101" s="13"/>
      <c r="AM101" s="2"/>
      <c r="AN101" s="2"/>
      <c r="AO101" s="2"/>
      <c r="AP101" s="2"/>
      <c r="AQ101" s="2"/>
      <c r="AR101" s="18"/>
      <c r="AS101" s="122"/>
      <c r="AV101" s="9"/>
      <c r="AW101" s="2"/>
      <c r="AX101" s="2"/>
      <c r="AY101" s="2"/>
      <c r="AZ101" s="13"/>
      <c r="BA101" s="2"/>
      <c r="BB101" s="2"/>
      <c r="BC101" s="2"/>
      <c r="BD101" s="2"/>
      <c r="BE101" s="2"/>
      <c r="BF101" s="18"/>
      <c r="BG101" s="9"/>
      <c r="BH101" s="473"/>
      <c r="BI101" s="474"/>
      <c r="BJ101" s="9"/>
      <c r="BK101" s="2"/>
      <c r="BL101" s="18"/>
      <c r="BM101" s="18"/>
      <c r="BN101" s="234"/>
      <c r="BO101" s="18"/>
      <c r="BP101" s="18"/>
      <c r="BQ101" s="18"/>
      <c r="BR101" s="18"/>
      <c r="BS101" s="18"/>
      <c r="BT101" s="18"/>
      <c r="BU101" s="9"/>
    </row>
    <row r="102" spans="1:75" ht="15.75" thickBot="1" x14ac:dyDescent="0.3">
      <c r="B102" s="2"/>
      <c r="C102" s="2"/>
      <c r="D102" s="2"/>
      <c r="E102" s="2"/>
      <c r="F102" s="13"/>
      <c r="G102" s="2"/>
      <c r="H102" s="2"/>
      <c r="I102" s="2"/>
      <c r="J102" s="2"/>
      <c r="K102" s="24" t="s">
        <v>18</v>
      </c>
      <c r="L102" s="21">
        <f>L88+L100</f>
        <v>0</v>
      </c>
      <c r="M102" s="122"/>
      <c r="N102" s="122"/>
      <c r="T102" s="2"/>
      <c r="U102" s="2"/>
      <c r="V102" s="2"/>
      <c r="W102" s="2"/>
      <c r="X102" s="13"/>
      <c r="Y102" s="2"/>
      <c r="Z102" s="2"/>
      <c r="AA102" s="2"/>
      <c r="AB102" s="2"/>
      <c r="AC102" s="24" t="s">
        <v>18</v>
      </c>
      <c r="AD102" s="21">
        <f>AD88+AD100</f>
        <v>0</v>
      </c>
      <c r="AE102" s="316"/>
      <c r="AH102" s="2"/>
      <c r="AI102" s="2"/>
      <c r="AJ102" s="2"/>
      <c r="AK102" s="2"/>
      <c r="AL102" s="13"/>
      <c r="AM102" s="2"/>
      <c r="AN102" s="2"/>
      <c r="AO102" s="2"/>
      <c r="AP102" s="2"/>
      <c r="AQ102" s="24" t="s">
        <v>18</v>
      </c>
      <c r="AR102" s="21">
        <f>AR88+AR100</f>
        <v>0</v>
      </c>
      <c r="AS102" s="122"/>
      <c r="AV102" s="9"/>
      <c r="AW102" s="2"/>
      <c r="AX102" s="2"/>
      <c r="AY102" s="2"/>
      <c r="AZ102" s="13"/>
      <c r="BA102" s="2"/>
      <c r="BB102" s="2"/>
      <c r="BC102" s="2"/>
      <c r="BD102" s="2"/>
      <c r="BE102" s="24" t="s">
        <v>18</v>
      </c>
      <c r="BF102" s="21">
        <f>BF88+BF100</f>
        <v>0</v>
      </c>
      <c r="BG102" s="9"/>
      <c r="BH102" s="473"/>
      <c r="BI102" s="474"/>
      <c r="BJ102" s="9"/>
      <c r="BK102" s="2"/>
      <c r="BL102" s="2"/>
      <c r="BM102" s="2"/>
      <c r="BN102" s="13"/>
      <c r="BO102" s="2"/>
      <c r="BP102" s="2"/>
      <c r="BQ102" s="2"/>
      <c r="BR102" s="2"/>
      <c r="BS102" s="24" t="s">
        <v>18</v>
      </c>
      <c r="BT102" s="21">
        <f>BT88+BT100</f>
        <v>0</v>
      </c>
      <c r="BU102" s="9"/>
    </row>
    <row r="103" spans="1:75" x14ac:dyDescent="0.25">
      <c r="B103" s="2"/>
      <c r="C103" s="2"/>
      <c r="D103" s="2"/>
      <c r="E103" s="2"/>
      <c r="F103" s="13"/>
      <c r="G103" s="2"/>
      <c r="H103" s="2"/>
      <c r="I103" s="2"/>
      <c r="J103" s="2"/>
      <c r="K103" s="24"/>
      <c r="L103" s="24"/>
      <c r="M103" s="122"/>
      <c r="N103" s="122"/>
      <c r="T103" s="2"/>
      <c r="U103" s="2"/>
      <c r="V103" s="2"/>
      <c r="W103" s="2"/>
      <c r="X103" s="13"/>
      <c r="Y103" s="2"/>
      <c r="Z103" s="2"/>
      <c r="AA103" s="2"/>
      <c r="AB103" s="2"/>
      <c r="AC103" s="24"/>
      <c r="AD103" s="24"/>
      <c r="AE103" s="24"/>
      <c r="AH103" s="2"/>
      <c r="AI103" s="2"/>
      <c r="AJ103" s="2"/>
      <c r="AK103" s="2"/>
      <c r="AL103" s="13"/>
      <c r="AM103" s="2"/>
      <c r="AN103" s="2"/>
      <c r="AO103" s="2"/>
      <c r="AP103" s="2"/>
      <c r="AQ103" s="24"/>
      <c r="AR103" s="24"/>
      <c r="AS103" s="122"/>
      <c r="AV103" s="9"/>
      <c r="AW103" s="2"/>
      <c r="AX103" s="2"/>
      <c r="AY103" s="2"/>
      <c r="AZ103" s="13"/>
      <c r="BA103" s="2"/>
      <c r="BB103" s="2"/>
      <c r="BC103" s="2"/>
      <c r="BD103" s="2"/>
      <c r="BE103" s="24"/>
      <c r="BF103" s="24"/>
      <c r="BG103" s="9"/>
      <c r="BH103" s="473"/>
      <c r="BI103" s="474"/>
      <c r="BJ103" s="9"/>
      <c r="BK103" s="2"/>
      <c r="BL103" s="2"/>
      <c r="BM103" s="2"/>
      <c r="BN103" s="13"/>
      <c r="BO103" s="2"/>
      <c r="BP103" s="2"/>
      <c r="BQ103" s="2"/>
      <c r="BR103" s="2"/>
      <c r="BS103" s="24"/>
      <c r="BT103" s="24"/>
      <c r="BU103" s="9"/>
    </row>
    <row r="104" spans="1:75" x14ac:dyDescent="0.25">
      <c r="B104" s="34"/>
      <c r="C104" s="34" t="s">
        <v>24</v>
      </c>
      <c r="D104" s="2"/>
      <c r="E104" s="2"/>
      <c r="F104" s="13"/>
      <c r="G104" s="2"/>
      <c r="H104" s="2"/>
      <c r="I104" s="2"/>
      <c r="J104" s="2"/>
      <c r="K104" s="122"/>
      <c r="L104" s="122"/>
      <c r="M104" s="122"/>
      <c r="N104" s="122"/>
      <c r="T104" s="34"/>
      <c r="U104" s="34" t="s">
        <v>24</v>
      </c>
      <c r="V104" s="2"/>
      <c r="W104" s="2"/>
      <c r="X104" s="13"/>
      <c r="Y104" s="2"/>
      <c r="Z104" s="2"/>
      <c r="AA104" s="2"/>
      <c r="AB104" s="2"/>
      <c r="AC104" s="122"/>
      <c r="AD104" s="122"/>
      <c r="AH104" s="34"/>
      <c r="AI104" s="34" t="s">
        <v>24</v>
      </c>
      <c r="AJ104" s="2"/>
      <c r="AK104" s="2"/>
      <c r="AL104" s="13"/>
      <c r="AM104" s="2"/>
      <c r="AN104" s="2"/>
      <c r="AO104" s="2"/>
      <c r="AP104" s="2"/>
      <c r="AQ104" s="122"/>
      <c r="AR104" s="122"/>
      <c r="AS104" s="122"/>
      <c r="AV104" s="9"/>
      <c r="AW104" s="34" t="s">
        <v>24</v>
      </c>
      <c r="AX104" s="2"/>
      <c r="AY104" s="2"/>
      <c r="AZ104" s="13"/>
      <c r="BA104" s="2"/>
      <c r="BB104" s="2"/>
      <c r="BC104" s="2"/>
      <c r="BD104" s="2"/>
      <c r="BE104" s="9"/>
      <c r="BF104" s="9"/>
      <c r="BG104" s="9"/>
      <c r="BH104" s="473"/>
      <c r="BI104" s="474"/>
      <c r="BJ104" s="9"/>
      <c r="BK104" s="34" t="s">
        <v>24</v>
      </c>
      <c r="BL104" s="2"/>
      <c r="BM104" s="2"/>
      <c r="BN104" s="13"/>
      <c r="BO104" s="2"/>
      <c r="BP104" s="2"/>
      <c r="BQ104" s="2"/>
      <c r="BR104" s="2"/>
      <c r="BS104" s="9"/>
      <c r="BT104" s="9"/>
      <c r="BU104" s="9"/>
    </row>
    <row r="105" spans="1:75" x14ac:dyDescent="0.25">
      <c r="B105" s="2"/>
      <c r="C105" s="2"/>
      <c r="D105" s="2"/>
      <c r="E105" s="2"/>
      <c r="F105" s="13"/>
      <c r="G105" s="24"/>
      <c r="H105" s="2"/>
      <c r="I105" s="2"/>
      <c r="J105" s="2"/>
      <c r="K105" s="122"/>
      <c r="L105" s="122"/>
      <c r="M105" s="122"/>
      <c r="N105" s="122"/>
      <c r="T105" s="2"/>
      <c r="U105" s="2"/>
      <c r="V105" s="2"/>
      <c r="W105" s="2"/>
      <c r="X105" s="13"/>
      <c r="Y105" s="24"/>
      <c r="Z105" s="2"/>
      <c r="AA105" s="2"/>
      <c r="AB105" s="2"/>
      <c r="AC105" s="122"/>
      <c r="AD105" s="122"/>
      <c r="AH105" s="2"/>
      <c r="AI105" s="2"/>
      <c r="AJ105" s="2"/>
      <c r="AK105" s="2"/>
      <c r="AL105" s="13"/>
      <c r="AM105" s="24"/>
      <c r="AN105" s="2"/>
      <c r="AO105" s="2"/>
      <c r="AP105" s="2"/>
      <c r="AQ105" s="122"/>
      <c r="AR105" s="122"/>
      <c r="AS105" s="122"/>
      <c r="AV105" s="9"/>
      <c r="AW105" s="2"/>
      <c r="AX105" s="2"/>
      <c r="AY105" s="2"/>
      <c r="AZ105" s="13"/>
      <c r="BA105" s="24"/>
      <c r="BB105" s="2"/>
      <c r="BC105" s="2"/>
      <c r="BD105" s="2"/>
      <c r="BE105" s="9"/>
      <c r="BF105" s="9"/>
      <c r="BG105" s="9"/>
      <c r="BH105" s="473"/>
      <c r="BI105" s="474"/>
      <c r="BJ105" s="9"/>
      <c r="BK105" s="2"/>
      <c r="BL105" s="2"/>
      <c r="BM105" s="2"/>
      <c r="BN105" s="13"/>
      <c r="BO105" s="24"/>
      <c r="BP105" s="2"/>
      <c r="BQ105" s="2"/>
      <c r="BR105" s="2"/>
      <c r="BS105" s="9"/>
      <c r="BT105" s="9"/>
      <c r="BU105" s="9"/>
    </row>
    <row r="106" spans="1:75" x14ac:dyDescent="0.25">
      <c r="B106" s="2"/>
      <c r="C106" s="2"/>
      <c r="D106" s="25" t="s">
        <v>18</v>
      </c>
      <c r="E106" s="2"/>
      <c r="F106" s="26"/>
      <c r="G106" s="8">
        <f>L102</f>
        <v>0</v>
      </c>
      <c r="H106" s="2"/>
      <c r="I106" s="2"/>
      <c r="J106" s="2"/>
      <c r="K106" s="122"/>
      <c r="L106" s="122"/>
      <c r="M106" s="122"/>
      <c r="N106" s="122"/>
      <c r="T106" s="2"/>
      <c r="U106" s="2"/>
      <c r="V106" s="25" t="s">
        <v>18</v>
      </c>
      <c r="W106" s="2"/>
      <c r="X106" s="26"/>
      <c r="Y106" s="8" t="e">
        <f>AD102*(100%-I109)</f>
        <v>#N/A</v>
      </c>
      <c r="Z106" s="2"/>
      <c r="AA106" s="2"/>
      <c r="AB106" s="2"/>
      <c r="AC106" s="122"/>
      <c r="AD106" s="122"/>
      <c r="AH106" s="2"/>
      <c r="AI106" s="2"/>
      <c r="AJ106" s="25" t="s">
        <v>18</v>
      </c>
      <c r="AK106" s="2"/>
      <c r="AL106" s="26"/>
      <c r="AM106" s="8" t="e">
        <f>AR102*(100%-I109)</f>
        <v>#N/A</v>
      </c>
      <c r="AN106" s="2"/>
      <c r="AO106" s="2"/>
      <c r="AP106" s="2"/>
      <c r="AQ106" s="122"/>
      <c r="AR106" s="122"/>
      <c r="AS106" s="122"/>
      <c r="AV106" s="9"/>
      <c r="AW106" s="2"/>
      <c r="AX106" s="25" t="s">
        <v>18</v>
      </c>
      <c r="AY106" s="2"/>
      <c r="AZ106" s="26"/>
      <c r="BA106" s="8">
        <f>BF102</f>
        <v>0</v>
      </c>
      <c r="BB106" s="2"/>
      <c r="BC106" s="2"/>
      <c r="BD106" s="2"/>
      <c r="BE106" s="9"/>
      <c r="BF106" s="9"/>
      <c r="BG106" s="9"/>
      <c r="BH106" s="473"/>
      <c r="BI106" s="474"/>
      <c r="BJ106" s="9"/>
      <c r="BK106" s="2"/>
      <c r="BL106" s="25" t="s">
        <v>18</v>
      </c>
      <c r="BM106" s="2"/>
      <c r="BN106" s="26"/>
      <c r="BO106" s="8">
        <f>BT102</f>
        <v>0</v>
      </c>
      <c r="BP106" s="2"/>
      <c r="BQ106" s="2"/>
      <c r="BR106" s="2"/>
      <c r="BS106" s="9"/>
      <c r="BT106" s="9"/>
      <c r="BU106" s="9"/>
    </row>
    <row r="107" spans="1:75" x14ac:dyDescent="0.25">
      <c r="B107" s="2"/>
      <c r="C107" s="2"/>
      <c r="D107" s="26" t="s">
        <v>19</v>
      </c>
      <c r="E107" s="2"/>
      <c r="F107" s="25"/>
      <c r="G107" s="8" t="e">
        <f>J62</f>
        <v>#N/A</v>
      </c>
      <c r="H107" s="2"/>
      <c r="I107" s="2"/>
      <c r="J107" s="2"/>
      <c r="K107" s="122"/>
      <c r="L107" s="122"/>
      <c r="M107" s="122"/>
      <c r="N107" s="122"/>
      <c r="T107" s="2"/>
      <c r="U107" s="2"/>
      <c r="V107" s="26" t="s">
        <v>19</v>
      </c>
      <c r="W107" s="2"/>
      <c r="X107" s="25"/>
      <c r="Y107" s="8" t="e">
        <f ca="1">AB62</f>
        <v>#N/A</v>
      </c>
      <c r="Z107" s="2"/>
      <c r="AA107" s="2"/>
      <c r="AB107" s="2"/>
      <c r="AC107" s="122"/>
      <c r="AD107" s="122"/>
      <c r="AH107" s="2"/>
      <c r="AI107" s="2"/>
      <c r="AJ107" s="26" t="s">
        <v>19</v>
      </c>
      <c r="AK107" s="2"/>
      <c r="AL107" s="25"/>
      <c r="AM107" s="8" t="e">
        <f ca="1">AP62</f>
        <v>#N/A</v>
      </c>
      <c r="AN107" s="2"/>
      <c r="AO107" s="2"/>
      <c r="AP107" s="2"/>
      <c r="AQ107" s="122"/>
      <c r="AR107" s="122"/>
      <c r="AS107" s="122"/>
      <c r="AV107" s="9"/>
      <c r="AW107" s="2"/>
      <c r="AX107" s="26" t="s">
        <v>19</v>
      </c>
      <c r="AY107" s="2"/>
      <c r="AZ107" s="25"/>
      <c r="BA107" s="8" t="e">
        <f ca="1">BD62</f>
        <v>#N/A</v>
      </c>
      <c r="BB107" s="2"/>
      <c r="BC107" s="2"/>
      <c r="BD107" s="2"/>
      <c r="BE107" s="9"/>
      <c r="BF107" s="9"/>
      <c r="BG107" s="9"/>
      <c r="BH107" s="473"/>
      <c r="BI107" s="474"/>
      <c r="BJ107" s="9"/>
      <c r="BK107" s="2"/>
      <c r="BL107" s="26" t="s">
        <v>19</v>
      </c>
      <c r="BM107" s="2"/>
      <c r="BN107" s="25"/>
      <c r="BO107" s="8" t="e">
        <f ca="1">BR62</f>
        <v>#DIV/0!</v>
      </c>
      <c r="BP107" s="2"/>
      <c r="BQ107" s="2"/>
      <c r="BR107" s="2"/>
      <c r="BS107" s="9"/>
      <c r="BT107" s="9"/>
      <c r="BU107" s="9"/>
    </row>
    <row r="108" spans="1:75" ht="15.75" thickBot="1" x14ac:dyDescent="0.3">
      <c r="B108" s="2"/>
      <c r="C108" s="2"/>
      <c r="D108" s="2"/>
      <c r="E108" s="2"/>
      <c r="F108" s="2"/>
      <c r="G108" s="27"/>
      <c r="H108" s="2"/>
      <c r="I108" s="2"/>
      <c r="J108" s="2"/>
      <c r="K108" s="122"/>
      <c r="L108" s="122"/>
      <c r="M108" s="122"/>
      <c r="N108" s="122"/>
      <c r="T108" s="2"/>
      <c r="U108" s="2"/>
      <c r="V108" s="2"/>
      <c r="W108" s="2"/>
      <c r="X108" s="2"/>
      <c r="Y108" s="27"/>
      <c r="Z108" s="2"/>
      <c r="AA108" s="2"/>
      <c r="AB108" s="2"/>
      <c r="AC108" s="122"/>
      <c r="AD108" s="122"/>
      <c r="AH108" s="2"/>
      <c r="AI108" s="2"/>
      <c r="AJ108" s="2"/>
      <c r="AK108" s="2"/>
      <c r="AL108" s="2"/>
      <c r="AM108" s="27"/>
      <c r="AN108" s="2"/>
      <c r="AO108" s="2"/>
      <c r="AP108" s="2"/>
      <c r="AQ108" s="122"/>
      <c r="AR108" s="122"/>
      <c r="AS108" s="122"/>
      <c r="AV108" s="9"/>
      <c r="AW108" s="2"/>
      <c r="AX108" s="2"/>
      <c r="AY108" s="2"/>
      <c r="AZ108" s="2"/>
      <c r="BA108" s="27"/>
      <c r="BB108" s="2"/>
      <c r="BC108" s="2"/>
      <c r="BD108" s="2"/>
      <c r="BE108" s="9"/>
      <c r="BF108" s="9"/>
      <c r="BG108" s="9"/>
      <c r="BH108" s="473"/>
      <c r="BI108" s="474"/>
      <c r="BJ108" s="9"/>
      <c r="BK108" s="2"/>
      <c r="BL108" s="2"/>
      <c r="BM108" s="2"/>
      <c r="BN108" s="2"/>
      <c r="BO108" s="27"/>
      <c r="BP108" s="2"/>
      <c r="BQ108" s="2"/>
      <c r="BR108" s="2"/>
      <c r="BS108" s="9"/>
      <c r="BT108" s="9"/>
      <c r="BU108" s="9"/>
    </row>
    <row r="109" spans="1:75" ht="15.75" thickBot="1" x14ac:dyDescent="0.3">
      <c r="B109" s="2"/>
      <c r="C109" s="2"/>
      <c r="D109" s="29" t="s">
        <v>20</v>
      </c>
      <c r="E109" s="30"/>
      <c r="F109" s="29"/>
      <c r="G109" s="21" t="e">
        <f>G106-G107</f>
        <v>#N/A</v>
      </c>
      <c r="H109" s="2"/>
      <c r="I109" s="31" t="e">
        <f>G109/G106</f>
        <v>#N/A</v>
      </c>
      <c r="J109" s="2"/>
      <c r="K109" s="122"/>
      <c r="L109" s="122"/>
      <c r="M109" s="122"/>
      <c r="N109" s="122"/>
      <c r="T109" s="2"/>
      <c r="U109" s="2"/>
      <c r="V109" s="29" t="s">
        <v>20</v>
      </c>
      <c r="W109" s="30"/>
      <c r="X109" s="29"/>
      <c r="Y109" s="21" t="e">
        <f ca="1">Y106-Y107</f>
        <v>#N/A</v>
      </c>
      <c r="Z109" s="2"/>
      <c r="AA109" s="31" t="e">
        <f ca="1">Y109/Y106</f>
        <v>#N/A</v>
      </c>
      <c r="AB109" s="2"/>
      <c r="AC109" s="122"/>
      <c r="AD109" s="122"/>
      <c r="AH109" s="2"/>
      <c r="AI109" s="2"/>
      <c r="AJ109" s="29" t="s">
        <v>20</v>
      </c>
      <c r="AK109" s="30"/>
      <c r="AL109" s="29"/>
      <c r="AM109" s="21" t="e">
        <f ca="1">AM106-AM107</f>
        <v>#N/A</v>
      </c>
      <c r="AN109" s="2"/>
      <c r="AO109" s="31" t="e">
        <f ca="1">AM109/AM106</f>
        <v>#N/A</v>
      </c>
      <c r="AP109" s="2"/>
      <c r="AQ109" s="122"/>
      <c r="AR109" s="122"/>
      <c r="AS109" s="122"/>
      <c r="AV109" s="9"/>
      <c r="AW109" s="2"/>
      <c r="AX109" s="29" t="s">
        <v>20</v>
      </c>
      <c r="AY109" s="30"/>
      <c r="AZ109" s="29"/>
      <c r="BA109" s="21" t="e">
        <f ca="1">BA106-BA107</f>
        <v>#N/A</v>
      </c>
      <c r="BB109" s="2"/>
      <c r="BC109" s="31" t="e">
        <f ca="1">BA109/BA106</f>
        <v>#N/A</v>
      </c>
      <c r="BD109" s="2"/>
      <c r="BE109" s="9"/>
      <c r="BF109" s="9"/>
      <c r="BG109" s="9"/>
      <c r="BH109" s="473"/>
      <c r="BI109" s="474"/>
      <c r="BJ109" s="9"/>
      <c r="BK109" s="2"/>
      <c r="BL109" s="29" t="s">
        <v>20</v>
      </c>
      <c r="BM109" s="30"/>
      <c r="BN109" s="29"/>
      <c r="BO109" s="21" t="e">
        <f ca="1">BO106-BO107</f>
        <v>#DIV/0!</v>
      </c>
      <c r="BP109" s="2"/>
      <c r="BQ109" s="31" t="e">
        <f ca="1">BO109/BO106</f>
        <v>#DIV/0!</v>
      </c>
      <c r="BR109" s="2"/>
      <c r="BS109" s="9"/>
      <c r="BT109" s="9"/>
      <c r="BU109" s="9"/>
    </row>
    <row r="110" spans="1:75" x14ac:dyDescent="0.25">
      <c r="C110" s="122"/>
      <c r="D110" s="122"/>
      <c r="E110" s="122"/>
      <c r="F110" s="122"/>
      <c r="G110" s="122"/>
      <c r="H110" s="122"/>
      <c r="I110" s="122"/>
      <c r="J110" s="122"/>
      <c r="K110" s="122"/>
      <c r="L110" s="122"/>
      <c r="M110" s="122"/>
      <c r="N110" s="122"/>
      <c r="U110" s="122"/>
      <c r="V110" s="122"/>
      <c r="W110" s="122"/>
      <c r="X110" s="122"/>
      <c r="Y110" s="122"/>
      <c r="Z110" s="122"/>
      <c r="AA110" s="122"/>
      <c r="AB110" s="122"/>
      <c r="AC110" s="122"/>
      <c r="AD110" s="122"/>
      <c r="AI110" s="122"/>
      <c r="AJ110" s="122"/>
      <c r="AK110" s="122"/>
      <c r="AL110" s="122"/>
      <c r="AM110" s="122"/>
      <c r="AN110" s="122"/>
      <c r="AO110" s="122"/>
      <c r="AP110" s="122"/>
      <c r="AQ110" s="122"/>
      <c r="AR110" s="122"/>
      <c r="AS110" s="122"/>
      <c r="AV110" s="9"/>
      <c r="AW110" s="9"/>
      <c r="AX110" s="9"/>
      <c r="AY110" s="9"/>
      <c r="AZ110" s="9"/>
      <c r="BA110" s="9"/>
      <c r="BB110" s="9"/>
      <c r="BC110" s="9"/>
      <c r="BD110" s="9"/>
      <c r="BE110" s="9"/>
      <c r="BF110" s="9"/>
      <c r="BG110" s="9"/>
      <c r="BH110" s="473"/>
      <c r="BI110" s="474"/>
      <c r="BJ110" s="9"/>
      <c r="BK110" s="9"/>
      <c r="BL110" s="9"/>
      <c r="BM110" s="9"/>
      <c r="BN110" s="9"/>
      <c r="BO110" s="9"/>
      <c r="BP110" s="9"/>
      <c r="BQ110" s="9"/>
      <c r="BR110" s="9"/>
      <c r="BS110" s="9"/>
      <c r="BT110" s="9"/>
      <c r="BU110" s="9"/>
    </row>
    <row r="111" spans="1:75" x14ac:dyDescent="0.25">
      <c r="D111" s="351" t="s">
        <v>270</v>
      </c>
      <c r="E111" s="352"/>
      <c r="F111" s="352"/>
      <c r="G111" s="352"/>
      <c r="H111" s="352"/>
      <c r="I111" s="352"/>
      <c r="J111" s="352"/>
      <c r="K111" s="352"/>
      <c r="L111" s="352"/>
      <c r="M111" s="122"/>
      <c r="N111" s="122"/>
      <c r="AC111" s="122"/>
      <c r="AD111" s="122"/>
      <c r="AI111" s="122"/>
      <c r="AJ111" s="122"/>
      <c r="AK111" s="122"/>
      <c r="AL111" s="122"/>
      <c r="AM111" s="122"/>
      <c r="AN111" s="122"/>
      <c r="AO111" s="122"/>
      <c r="AP111" s="122"/>
      <c r="AQ111" s="122"/>
      <c r="AR111" s="122"/>
      <c r="AS111" s="122"/>
      <c r="AV111" s="473"/>
      <c r="AW111" s="473"/>
      <c r="AX111" s="473"/>
      <c r="AY111" s="473"/>
      <c r="AZ111" s="473"/>
      <c r="BA111" s="473"/>
      <c r="BB111" s="473"/>
      <c r="BC111" s="473"/>
      <c r="BD111" s="473"/>
      <c r="BE111" s="473"/>
      <c r="BF111" s="473"/>
      <c r="BG111" s="473"/>
      <c r="BH111" s="473"/>
      <c r="BI111" s="474"/>
      <c r="BJ111" s="474"/>
      <c r="BK111" s="474"/>
      <c r="BL111" s="474"/>
      <c r="BM111" s="474"/>
      <c r="BN111" s="474"/>
      <c r="BO111" s="474"/>
      <c r="BP111" s="474"/>
      <c r="BQ111" s="474"/>
      <c r="BR111" s="474"/>
      <c r="BS111" s="474"/>
      <c r="BT111" s="474"/>
      <c r="BU111" s="474"/>
    </row>
    <row r="112" spans="1:75" x14ac:dyDescent="0.25">
      <c r="D112" s="352"/>
      <c r="E112" s="352"/>
      <c r="F112" s="352"/>
      <c r="G112" s="352"/>
      <c r="H112" s="352"/>
      <c r="I112" s="352"/>
      <c r="J112" s="352"/>
      <c r="K112" s="352"/>
      <c r="L112" s="352"/>
      <c r="M112" s="122"/>
      <c r="N112" s="122"/>
      <c r="AC112" s="122"/>
      <c r="AD112" s="122"/>
      <c r="AI112" s="122"/>
      <c r="AJ112" s="122"/>
      <c r="AK112" s="122"/>
      <c r="AL112" s="122"/>
      <c r="AM112" s="122"/>
      <c r="AN112" s="122"/>
      <c r="AO112" s="122"/>
      <c r="AP112" s="122"/>
      <c r="AQ112" s="122"/>
      <c r="AR112" s="122"/>
      <c r="AS112" s="122"/>
      <c r="AV112" s="473"/>
      <c r="AW112" s="473"/>
      <c r="AX112" s="473"/>
      <c r="AY112" s="473"/>
      <c r="AZ112" s="473"/>
      <c r="BA112" s="473"/>
      <c r="BB112" s="473"/>
      <c r="BC112" s="473"/>
      <c r="BD112" s="473"/>
      <c r="BE112" s="473"/>
      <c r="BF112" s="473"/>
      <c r="BG112" s="473"/>
      <c r="BH112" s="473"/>
      <c r="BI112" s="474"/>
      <c r="BJ112" s="474"/>
      <c r="BK112" s="474"/>
      <c r="BL112" s="474"/>
      <c r="BM112" s="474"/>
      <c r="BN112" s="474"/>
      <c r="BO112" s="474"/>
      <c r="BP112" s="474"/>
      <c r="BQ112" s="474"/>
      <c r="BR112" s="474"/>
      <c r="BS112" s="474"/>
      <c r="BT112" s="474"/>
      <c r="BU112" s="474"/>
    </row>
    <row r="113" spans="3:74" ht="15" customHeight="1" x14ac:dyDescent="0.25">
      <c r="D113" s="350" t="s">
        <v>271</v>
      </c>
      <c r="E113" s="350"/>
      <c r="F113" s="350"/>
      <c r="G113" s="350"/>
      <c r="H113" s="350"/>
      <c r="I113" s="350"/>
      <c r="J113" s="350"/>
      <c r="K113" s="350"/>
      <c r="L113" s="350"/>
      <c r="M113" s="122"/>
      <c r="N113" s="122"/>
      <c r="AC113" s="122"/>
      <c r="AD113" s="122"/>
      <c r="AI113" s="122"/>
      <c r="AJ113" s="122"/>
      <c r="AK113" s="122"/>
      <c r="AL113" s="122"/>
      <c r="AM113" s="122"/>
      <c r="AN113" s="122"/>
      <c r="AO113" s="122"/>
      <c r="AP113" s="122"/>
      <c r="AQ113" s="122"/>
      <c r="AR113" s="122"/>
      <c r="AS113" s="122"/>
      <c r="AV113" s="475" t="s">
        <v>189</v>
      </c>
      <c r="AW113" s="475"/>
      <c r="AX113" s="475"/>
      <c r="AY113" s="475"/>
      <c r="AZ113" s="475"/>
      <c r="BA113" s="475"/>
      <c r="BB113" s="475"/>
      <c r="BC113" s="475"/>
      <c r="BD113" s="475"/>
      <c r="BE113" s="475"/>
      <c r="BF113" s="475"/>
      <c r="BG113" s="475"/>
      <c r="BH113" s="475"/>
      <c r="BI113" s="475"/>
      <c r="BJ113" s="475"/>
      <c r="BK113" s="475"/>
      <c r="BL113" s="475"/>
      <c r="BM113" s="475"/>
      <c r="BN113" s="475"/>
      <c r="BO113" s="475"/>
      <c r="BP113" s="475"/>
      <c r="BQ113" s="475"/>
      <c r="BR113" s="475"/>
      <c r="BS113" s="475"/>
      <c r="BT113" s="475"/>
      <c r="BU113" s="475"/>
    </row>
    <row r="114" spans="3:74" ht="15" customHeight="1" x14ac:dyDescent="0.25">
      <c r="C114" s="122"/>
      <c r="D114" s="350"/>
      <c r="E114" s="350"/>
      <c r="F114" s="350"/>
      <c r="G114" s="350"/>
      <c r="H114" s="350"/>
      <c r="I114" s="350"/>
      <c r="J114" s="350"/>
      <c r="K114" s="350"/>
      <c r="L114" s="350"/>
      <c r="M114" s="122"/>
      <c r="N114" s="122"/>
      <c r="AV114" s="475"/>
      <c r="AW114" s="475"/>
      <c r="AX114" s="475"/>
      <c r="AY114" s="475"/>
      <c r="AZ114" s="475"/>
      <c r="BA114" s="475"/>
      <c r="BB114" s="475"/>
      <c r="BC114" s="475"/>
      <c r="BD114" s="475"/>
      <c r="BE114" s="475"/>
      <c r="BF114" s="475"/>
      <c r="BG114" s="475"/>
      <c r="BH114" s="475"/>
      <c r="BI114" s="475"/>
      <c r="BJ114" s="475"/>
      <c r="BK114" s="475"/>
      <c r="BL114" s="475"/>
      <c r="BM114" s="475"/>
      <c r="BN114" s="475"/>
      <c r="BO114" s="475"/>
      <c r="BP114" s="475"/>
      <c r="BQ114" s="475"/>
      <c r="BR114" s="475"/>
      <c r="BS114" s="475"/>
      <c r="BT114" s="475"/>
      <c r="BU114" s="475"/>
    </row>
    <row r="115" spans="3:74" ht="15" customHeight="1" x14ac:dyDescent="0.25">
      <c r="C115" s="122"/>
      <c r="D115" s="350" t="s">
        <v>272</v>
      </c>
      <c r="E115" s="350"/>
      <c r="F115" s="350"/>
      <c r="G115" s="350"/>
      <c r="H115" s="350"/>
      <c r="I115" s="350"/>
      <c r="J115" s="350"/>
      <c r="K115" s="350"/>
      <c r="L115" s="350"/>
      <c r="M115" s="122"/>
      <c r="N115" s="122"/>
      <c r="AV115" s="475"/>
      <c r="AW115" s="475"/>
      <c r="AX115" s="475"/>
      <c r="AY115" s="475"/>
      <c r="AZ115" s="475"/>
      <c r="BA115" s="475"/>
      <c r="BB115" s="475"/>
      <c r="BC115" s="475"/>
      <c r="BD115" s="475"/>
      <c r="BE115" s="475"/>
      <c r="BF115" s="475"/>
      <c r="BG115" s="475"/>
      <c r="BH115" s="475"/>
      <c r="BI115" s="475"/>
      <c r="BJ115" s="475"/>
      <c r="BK115" s="475"/>
      <c r="BL115" s="475"/>
      <c r="BM115" s="475"/>
      <c r="BN115" s="475"/>
      <c r="BO115" s="475"/>
      <c r="BP115" s="475"/>
      <c r="BQ115" s="475"/>
      <c r="BR115" s="475"/>
      <c r="BS115" s="475"/>
      <c r="BT115" s="475"/>
      <c r="BU115" s="475"/>
    </row>
    <row r="116" spans="3:74" ht="15" customHeight="1" x14ac:dyDescent="0.25">
      <c r="D116" s="350"/>
      <c r="E116" s="350"/>
      <c r="F116" s="350"/>
      <c r="G116" s="350"/>
      <c r="H116" s="350"/>
      <c r="I116" s="350"/>
      <c r="J116" s="350"/>
      <c r="K116" s="350"/>
      <c r="L116" s="350"/>
      <c r="AV116" s="475"/>
      <c r="AW116" s="475"/>
      <c r="AX116" s="475"/>
      <c r="AY116" s="475"/>
      <c r="AZ116" s="475"/>
      <c r="BA116" s="475"/>
      <c r="BB116" s="475"/>
      <c r="BC116" s="475"/>
      <c r="BD116" s="475"/>
      <c r="BE116" s="475"/>
      <c r="BF116" s="475"/>
      <c r="BG116" s="475"/>
      <c r="BH116" s="475"/>
      <c r="BI116" s="475"/>
      <c r="BJ116" s="475"/>
      <c r="BK116" s="475"/>
      <c r="BL116" s="475"/>
      <c r="BM116" s="475"/>
      <c r="BN116" s="475"/>
      <c r="BO116" s="475"/>
      <c r="BP116" s="475"/>
      <c r="BQ116" s="475"/>
      <c r="BR116" s="475"/>
      <c r="BS116" s="475"/>
      <c r="BT116" s="475"/>
      <c r="BU116" s="475"/>
    </row>
    <row r="117" spans="3:74" ht="15.75" customHeight="1" x14ac:dyDescent="0.25">
      <c r="AV117" s="475"/>
      <c r="AW117" s="475"/>
      <c r="AX117" s="475"/>
      <c r="AY117" s="475"/>
      <c r="AZ117" s="475"/>
      <c r="BA117" s="475"/>
      <c r="BB117" s="475"/>
      <c r="BC117" s="475"/>
      <c r="BD117" s="475"/>
      <c r="BE117" s="475"/>
      <c r="BF117" s="475"/>
      <c r="BG117" s="475"/>
      <c r="BH117" s="475"/>
      <c r="BI117" s="475"/>
      <c r="BJ117" s="475"/>
      <c r="BK117" s="475"/>
      <c r="BL117" s="475"/>
      <c r="BM117" s="475"/>
      <c r="BN117" s="475"/>
      <c r="BO117" s="475"/>
      <c r="BP117" s="475"/>
      <c r="BQ117" s="475"/>
      <c r="BR117" s="475"/>
      <c r="BS117" s="475"/>
      <c r="BT117" s="475"/>
      <c r="BU117" s="475"/>
    </row>
    <row r="118" spans="3:74" x14ac:dyDescent="0.25">
      <c r="AV118" s="9"/>
      <c r="AW118" s="9"/>
      <c r="AX118" s="9"/>
      <c r="AY118" s="9"/>
      <c r="AZ118" s="9"/>
      <c r="BA118" s="9"/>
      <c r="BB118" s="9"/>
      <c r="BC118" s="9"/>
      <c r="BD118" s="9"/>
      <c r="BE118" s="9"/>
      <c r="BF118" s="9"/>
      <c r="BG118" s="9"/>
      <c r="BH118" s="473"/>
      <c r="BI118" s="474"/>
      <c r="BJ118" s="9"/>
      <c r="BK118" s="9"/>
      <c r="BL118" s="9"/>
      <c r="BM118" s="9"/>
      <c r="BN118" s="9"/>
      <c r="BO118" s="9"/>
      <c r="BP118" s="9"/>
      <c r="BQ118" s="9"/>
      <c r="BR118" s="9"/>
      <c r="BS118" s="9"/>
      <c r="BT118" s="9"/>
      <c r="BU118" s="9"/>
    </row>
    <row r="119" spans="3:74" x14ac:dyDescent="0.25">
      <c r="AV119" s="9"/>
      <c r="AW119" s="9"/>
      <c r="AX119" s="9"/>
      <c r="AY119" s="9"/>
      <c r="AZ119" s="9"/>
      <c r="BA119" s="9"/>
      <c r="BB119" s="9"/>
      <c r="BC119" s="9"/>
      <c r="BD119" s="9"/>
      <c r="BE119" s="9"/>
      <c r="BF119" s="9"/>
      <c r="BG119" s="9"/>
      <c r="BH119" s="473"/>
      <c r="BI119" s="474"/>
      <c r="BJ119" s="9"/>
      <c r="BK119" s="9"/>
      <c r="BL119" s="9"/>
      <c r="BM119" s="9"/>
      <c r="BN119" s="9"/>
      <c r="BO119" s="9"/>
      <c r="BP119" s="9"/>
      <c r="BQ119" s="9"/>
      <c r="BR119" s="9"/>
      <c r="BS119" s="9"/>
      <c r="BT119" s="9"/>
      <c r="BU119" s="9"/>
    </row>
    <row r="120" spans="3:74" ht="33.75" x14ac:dyDescent="0.5">
      <c r="AV120" s="9"/>
      <c r="AW120" s="476"/>
      <c r="AX120" s="477" t="s">
        <v>224</v>
      </c>
      <c r="AY120" s="476"/>
      <c r="AZ120" s="476"/>
      <c r="BA120" s="476"/>
      <c r="BB120" s="476"/>
      <c r="BC120" s="476"/>
      <c r="BD120" s="476"/>
      <c r="BE120" s="476"/>
      <c r="BF120" s="476"/>
      <c r="BG120" s="476"/>
      <c r="BH120" s="478"/>
      <c r="BI120" s="479"/>
      <c r="BJ120" s="476"/>
      <c r="BK120" s="476"/>
      <c r="BL120" s="477" t="s">
        <v>224</v>
      </c>
      <c r="BM120" s="476"/>
      <c r="BN120" s="476"/>
      <c r="BO120" s="476"/>
      <c r="BP120" s="476"/>
      <c r="BQ120" s="476"/>
      <c r="BR120" s="476"/>
      <c r="BS120" s="476"/>
      <c r="BT120" s="476"/>
      <c r="BU120" s="476"/>
      <c r="BV120" s="317"/>
    </row>
    <row r="121" spans="3:74" ht="28.5" x14ac:dyDescent="0.45">
      <c r="AV121" s="9"/>
      <c r="AW121" s="9"/>
      <c r="AX121" s="477" t="s">
        <v>225</v>
      </c>
      <c r="AY121" s="9"/>
      <c r="AZ121" s="9"/>
      <c r="BA121" s="9"/>
      <c r="BB121" s="9"/>
      <c r="BC121" s="9"/>
      <c r="BD121" s="9"/>
      <c r="BE121" s="9"/>
      <c r="BF121" s="9"/>
      <c r="BG121" s="9"/>
      <c r="BH121" s="473"/>
      <c r="BI121" s="474"/>
      <c r="BJ121" s="9"/>
      <c r="BK121" s="9"/>
      <c r="BL121" s="477" t="s">
        <v>226</v>
      </c>
      <c r="BM121" s="9"/>
      <c r="BN121" s="9"/>
      <c r="BO121" s="9"/>
      <c r="BP121" s="9"/>
      <c r="BQ121" s="9"/>
      <c r="BR121" s="9"/>
      <c r="BS121" s="9"/>
      <c r="BT121" s="9"/>
      <c r="BU121" s="9"/>
    </row>
    <row r="122" spans="3:74" x14ac:dyDescent="0.25">
      <c r="AV122" s="9"/>
      <c r="AW122" s="9"/>
      <c r="AX122" s="9"/>
      <c r="AY122" s="9"/>
      <c r="AZ122" s="9"/>
      <c r="BA122" s="9"/>
      <c r="BB122" s="9"/>
      <c r="BC122" s="9"/>
      <c r="BD122" s="9"/>
      <c r="BE122" s="9"/>
      <c r="BF122" s="9"/>
      <c r="BG122" s="9"/>
      <c r="BH122" s="473"/>
      <c r="BI122" s="474"/>
      <c r="BJ122" s="9"/>
      <c r="BK122" s="9"/>
      <c r="BL122" s="9"/>
      <c r="BM122" s="9"/>
      <c r="BN122" s="9"/>
      <c r="BO122" s="9"/>
      <c r="BP122" s="9"/>
      <c r="BQ122" s="9"/>
      <c r="BR122" s="9"/>
      <c r="BS122" s="9"/>
      <c r="BT122" s="9"/>
      <c r="BU122" s="9"/>
    </row>
    <row r="123" spans="3:74" x14ac:dyDescent="0.25">
      <c r="AV123" s="9"/>
      <c r="AW123" s="9"/>
      <c r="AX123" s="9"/>
      <c r="AY123" s="9"/>
      <c r="AZ123" s="9"/>
      <c r="BA123" s="9"/>
      <c r="BB123" s="9"/>
      <c r="BC123" s="9"/>
      <c r="BD123" s="9"/>
      <c r="BE123" s="9"/>
      <c r="BF123" s="9"/>
      <c r="BG123" s="9"/>
      <c r="BH123" s="473"/>
      <c r="BI123" s="474"/>
      <c r="BJ123" s="9"/>
      <c r="BK123" s="9"/>
      <c r="BL123" s="9"/>
      <c r="BM123" s="9"/>
      <c r="BN123" s="9"/>
      <c r="BO123" s="9"/>
      <c r="BP123" s="9"/>
      <c r="BQ123" s="9"/>
      <c r="BR123" s="9"/>
      <c r="BS123" s="9"/>
      <c r="BT123" s="9"/>
      <c r="BU123" s="9"/>
    </row>
    <row r="124" spans="3:74" x14ac:dyDescent="0.25">
      <c r="AV124" s="9"/>
      <c r="AW124" s="9"/>
      <c r="AX124" s="9"/>
      <c r="AY124" s="9"/>
      <c r="AZ124" s="9"/>
      <c r="BA124" s="9"/>
      <c r="BB124" s="9"/>
      <c r="BC124" s="9"/>
      <c r="BD124" s="9"/>
      <c r="BE124" s="9"/>
      <c r="BF124" s="9"/>
      <c r="BG124" s="9"/>
      <c r="BH124" s="473"/>
      <c r="BI124" s="474"/>
      <c r="BJ124" s="9"/>
      <c r="BK124" s="9"/>
      <c r="BL124" s="9"/>
      <c r="BM124" s="9"/>
      <c r="BN124" s="9"/>
      <c r="BO124" s="9"/>
      <c r="BP124" s="9"/>
      <c r="BQ124" s="9"/>
      <c r="BR124" s="9"/>
      <c r="BS124" s="9"/>
      <c r="BT124" s="9"/>
      <c r="BU124" s="9"/>
    </row>
    <row r="125" spans="3:74" x14ac:dyDescent="0.25">
      <c r="AV125" s="9"/>
      <c r="AW125" s="9"/>
      <c r="AX125" s="480"/>
      <c r="AY125" s="406" t="s">
        <v>1</v>
      </c>
      <c r="AZ125" s="9"/>
      <c r="BA125" s="9"/>
      <c r="BB125" s="9"/>
      <c r="BC125" s="9"/>
      <c r="BD125" s="9"/>
      <c r="BE125" s="9"/>
      <c r="BF125" s="9"/>
      <c r="BG125" s="9"/>
      <c r="BH125" s="473"/>
      <c r="BI125" s="474"/>
      <c r="BJ125" s="9"/>
      <c r="BK125" s="9"/>
      <c r="BL125" s="480"/>
      <c r="BM125" s="406" t="s">
        <v>1</v>
      </c>
      <c r="BN125" s="9"/>
      <c r="BO125" s="9"/>
      <c r="BP125" s="9"/>
      <c r="BQ125" s="9"/>
      <c r="BR125" s="9"/>
      <c r="BS125" s="9"/>
      <c r="BT125" s="9"/>
      <c r="BU125" s="9"/>
    </row>
    <row r="126" spans="3:74" x14ac:dyDescent="0.25">
      <c r="AV126" s="9"/>
      <c r="AW126" s="9"/>
      <c r="AX126" s="481" t="s">
        <v>0</v>
      </c>
      <c r="AY126" s="408">
        <f>Lähtötiedot!O35</f>
        <v>0</v>
      </c>
      <c r="AZ126" s="9"/>
      <c r="BA126" s="9"/>
      <c r="BB126" s="9"/>
      <c r="BC126" s="9"/>
      <c r="BD126" s="9"/>
      <c r="BE126" s="9"/>
      <c r="BF126" s="9"/>
      <c r="BG126" s="9"/>
      <c r="BH126" s="473"/>
      <c r="BI126" s="474"/>
      <c r="BJ126" s="9"/>
      <c r="BK126" s="9"/>
      <c r="BL126" s="481" t="s">
        <v>0</v>
      </c>
      <c r="BM126" s="408">
        <f>Lähtötiedot!S35</f>
        <v>0</v>
      </c>
      <c r="BN126" s="9"/>
      <c r="BO126" s="9"/>
      <c r="BP126" s="9"/>
      <c r="BQ126" s="9"/>
      <c r="BR126" s="9"/>
      <c r="BS126" s="9"/>
      <c r="BT126" s="9"/>
      <c r="BU126" s="9"/>
    </row>
    <row r="127" spans="3:74" x14ac:dyDescent="0.25">
      <c r="AV127" s="9"/>
      <c r="AW127" s="9"/>
      <c r="AX127" s="406" t="s">
        <v>162</v>
      </c>
      <c r="AY127" s="408" t="e">
        <f ca="1">Lähtötiedot!O44</f>
        <v>#N/A</v>
      </c>
      <c r="AZ127" s="9"/>
      <c r="BA127" s="9"/>
      <c r="BB127" s="9"/>
      <c r="BC127" s="9"/>
      <c r="BD127" s="9"/>
      <c r="BE127" s="9"/>
      <c r="BF127" s="9"/>
      <c r="BG127" s="9"/>
      <c r="BH127" s="473"/>
      <c r="BI127" s="474"/>
      <c r="BJ127" s="9"/>
      <c r="BK127" s="9"/>
      <c r="BL127" s="406" t="s">
        <v>162</v>
      </c>
      <c r="BM127" s="408" t="e">
        <f ca="1">Lähtötiedot!S44</f>
        <v>#N/A</v>
      </c>
      <c r="BN127" s="9"/>
      <c r="BO127" s="9"/>
      <c r="BP127" s="9"/>
      <c r="BQ127" s="9"/>
      <c r="BR127" s="9"/>
      <c r="BS127" s="9"/>
      <c r="BT127" s="9"/>
      <c r="BU127" s="9"/>
    </row>
    <row r="128" spans="3:74" x14ac:dyDescent="0.25">
      <c r="AV128" s="9"/>
      <c r="AW128" s="9"/>
      <c r="AX128" s="406" t="s">
        <v>163</v>
      </c>
      <c r="AY128" s="408">
        <f>Lähtötiedot!O43</f>
        <v>0</v>
      </c>
      <c r="AZ128" s="9"/>
      <c r="BA128" s="9"/>
      <c r="BB128" s="9"/>
      <c r="BC128" s="9"/>
      <c r="BD128" s="9"/>
      <c r="BE128" s="9"/>
      <c r="BF128" s="9"/>
      <c r="BG128" s="9"/>
      <c r="BH128" s="473"/>
      <c r="BI128" s="474"/>
      <c r="BJ128" s="9"/>
      <c r="BK128" s="9"/>
      <c r="BL128" s="406" t="s">
        <v>163</v>
      </c>
      <c r="BM128" s="408">
        <f>Lähtötiedot!S43</f>
        <v>0</v>
      </c>
      <c r="BN128" s="9"/>
      <c r="BO128" s="9"/>
      <c r="BP128" s="9"/>
      <c r="BQ128" s="9"/>
      <c r="BR128" s="9"/>
      <c r="BS128" s="9"/>
      <c r="BT128" s="9"/>
      <c r="BU128" s="9"/>
    </row>
    <row r="129" spans="48:73" x14ac:dyDescent="0.25">
      <c r="AV129" s="9"/>
      <c r="AW129" s="9"/>
      <c r="AX129" s="406" t="s">
        <v>176</v>
      </c>
      <c r="AY129" s="408" t="e">
        <f ca="1">Lähtötiedot!O45</f>
        <v>#N/A</v>
      </c>
      <c r="AZ129" s="9"/>
      <c r="BA129" s="9"/>
      <c r="BB129" s="9"/>
      <c r="BC129" s="9"/>
      <c r="BD129" s="9"/>
      <c r="BE129" s="9"/>
      <c r="BF129" s="9"/>
      <c r="BG129" s="9"/>
      <c r="BH129" s="473"/>
      <c r="BI129" s="474"/>
      <c r="BJ129" s="9"/>
      <c r="BK129" s="9"/>
      <c r="BL129" s="406" t="s">
        <v>176</v>
      </c>
      <c r="BM129" s="408" t="e">
        <f ca="1">Lähtötiedot!S45</f>
        <v>#N/A</v>
      </c>
      <c r="BN129" s="9"/>
      <c r="BO129" s="9"/>
      <c r="BP129" s="9"/>
      <c r="BQ129" s="9"/>
      <c r="BR129" s="9"/>
      <c r="BS129" s="9"/>
      <c r="BT129" s="9"/>
      <c r="BU129" s="9"/>
    </row>
    <row r="130" spans="48:73" x14ac:dyDescent="0.25">
      <c r="AV130" s="9"/>
      <c r="AW130" s="9"/>
      <c r="AX130" s="9"/>
      <c r="AY130" s="415"/>
      <c r="AZ130" s="9"/>
      <c r="BA130" s="9"/>
      <c r="BB130" s="9"/>
      <c r="BC130" s="9"/>
      <c r="BD130" s="9"/>
      <c r="BE130" s="9"/>
      <c r="BF130" s="9"/>
      <c r="BG130" s="9"/>
      <c r="BH130" s="473"/>
      <c r="BI130" s="474"/>
      <c r="BJ130" s="9"/>
      <c r="BK130" s="9"/>
      <c r="BL130" s="9"/>
      <c r="BM130" s="415"/>
      <c r="BN130" s="9"/>
      <c r="BO130" s="9"/>
      <c r="BP130" s="9"/>
      <c r="BQ130" s="9"/>
      <c r="BR130" s="9"/>
      <c r="BS130" s="9"/>
      <c r="BT130" s="9"/>
      <c r="BU130" s="9"/>
    </row>
    <row r="131" spans="48:73" x14ac:dyDescent="0.25">
      <c r="AV131" s="9"/>
      <c r="AW131" s="9"/>
      <c r="AX131" s="9"/>
      <c r="AY131" s="9"/>
      <c r="AZ131" s="9"/>
      <c r="BA131" s="9"/>
      <c r="BB131" s="9"/>
      <c r="BC131" s="9"/>
      <c r="BD131" s="9"/>
      <c r="BE131" s="9"/>
      <c r="BF131" s="9"/>
      <c r="BG131" s="9"/>
      <c r="BH131" s="473"/>
      <c r="BI131" s="474"/>
      <c r="BJ131" s="9"/>
      <c r="BK131" s="9"/>
      <c r="BL131" s="9"/>
      <c r="BM131" s="9"/>
      <c r="BN131" s="9"/>
      <c r="BO131" s="9"/>
      <c r="BP131" s="9"/>
      <c r="BQ131" s="9"/>
      <c r="BR131" s="9"/>
      <c r="BS131" s="9"/>
      <c r="BT131" s="9"/>
      <c r="BU131" s="9"/>
    </row>
    <row r="132" spans="48:73" ht="18.75" x14ac:dyDescent="0.3">
      <c r="AV132" s="9"/>
      <c r="AW132" s="482" t="s">
        <v>185</v>
      </c>
      <c r="AX132" s="9"/>
      <c r="AY132" s="483"/>
      <c r="AZ132" s="9"/>
      <c r="BA132" s="9"/>
      <c r="BB132" s="9"/>
      <c r="BC132" s="9"/>
      <c r="BD132" s="9"/>
      <c r="BE132" s="9"/>
      <c r="BF132" s="9"/>
      <c r="BG132" s="9"/>
      <c r="BH132" s="473"/>
      <c r="BI132" s="474"/>
      <c r="BJ132" s="9"/>
      <c r="BK132" s="482" t="s">
        <v>185</v>
      </c>
      <c r="BL132" s="9"/>
      <c r="BM132" s="483"/>
      <c r="BN132" s="9"/>
      <c r="BO132" s="9"/>
      <c r="BP132" s="9"/>
      <c r="BQ132" s="9"/>
      <c r="BR132" s="9"/>
      <c r="BS132" s="9"/>
      <c r="BT132" s="9"/>
      <c r="BU132" s="9"/>
    </row>
    <row r="133" spans="48:73" x14ac:dyDescent="0.25">
      <c r="AV133" s="9"/>
      <c r="AW133" s="9"/>
      <c r="AX133" s="467"/>
      <c r="AY133" s="468"/>
      <c r="AZ133" s="406" t="s">
        <v>94</v>
      </c>
      <c r="BA133" s="9"/>
      <c r="BB133" s="9"/>
      <c r="BC133" s="9"/>
      <c r="BD133" s="9"/>
      <c r="BE133" s="9"/>
      <c r="BF133" s="9"/>
      <c r="BG133" s="9"/>
      <c r="BH133" s="473"/>
      <c r="BI133" s="474"/>
      <c r="BJ133" s="9"/>
      <c r="BK133" s="9"/>
      <c r="BL133" s="467"/>
      <c r="BM133" s="468"/>
      <c r="BN133" s="406" t="s">
        <v>94</v>
      </c>
      <c r="BO133" s="9"/>
      <c r="BP133" s="9"/>
      <c r="BQ133" s="9"/>
      <c r="BR133" s="9"/>
      <c r="BS133" s="9"/>
      <c r="BT133" s="9"/>
      <c r="BU133" s="9"/>
    </row>
    <row r="134" spans="48:73" x14ac:dyDescent="0.25">
      <c r="AV134" s="9"/>
      <c r="AW134" s="9"/>
      <c r="AX134" s="484" t="s">
        <v>67</v>
      </c>
      <c r="AY134" s="484"/>
      <c r="AZ134" s="408" t="e">
        <f>$AY$126*H14</f>
        <v>#N/A</v>
      </c>
      <c r="BA134" s="9"/>
      <c r="BB134" s="9"/>
      <c r="BC134" s="9"/>
      <c r="BD134" s="9"/>
      <c r="BE134" s="9"/>
      <c r="BF134" s="9"/>
      <c r="BG134" s="9"/>
      <c r="BH134" s="473"/>
      <c r="BI134" s="474"/>
      <c r="BJ134" s="9"/>
      <c r="BK134" s="9"/>
      <c r="BL134" s="484" t="s">
        <v>67</v>
      </c>
      <c r="BM134" s="484"/>
      <c r="BN134" s="408" t="e">
        <f>$BM$126*H14</f>
        <v>#N/A</v>
      </c>
      <c r="BO134" s="9"/>
      <c r="BP134" s="9"/>
      <c r="BQ134" s="9"/>
      <c r="BR134" s="9"/>
      <c r="BS134" s="9"/>
      <c r="BT134" s="9"/>
      <c r="BU134" s="9"/>
    </row>
    <row r="135" spans="48:73" x14ac:dyDescent="0.25">
      <c r="AV135" s="9"/>
      <c r="AW135" s="9"/>
      <c r="AX135" s="484" t="s">
        <v>80</v>
      </c>
      <c r="AY135" s="484"/>
      <c r="AZ135" s="408" t="e">
        <f>$AY$126*H15</f>
        <v>#N/A</v>
      </c>
      <c r="BA135" s="9"/>
      <c r="BB135" s="9"/>
      <c r="BC135" s="9"/>
      <c r="BD135" s="9"/>
      <c r="BE135" s="9"/>
      <c r="BF135" s="9"/>
      <c r="BG135" s="9"/>
      <c r="BH135" s="473"/>
      <c r="BI135" s="474"/>
      <c r="BJ135" s="9"/>
      <c r="BK135" s="9"/>
      <c r="BL135" s="484" t="s">
        <v>80</v>
      </c>
      <c r="BM135" s="484"/>
      <c r="BN135" s="408" t="e">
        <f>$BM$126*H15</f>
        <v>#N/A</v>
      </c>
      <c r="BO135" s="9"/>
      <c r="BP135" s="9"/>
      <c r="BQ135" s="9"/>
      <c r="BR135" s="9"/>
      <c r="BS135" s="9"/>
      <c r="BT135" s="9"/>
      <c r="BU135" s="9"/>
    </row>
    <row r="136" spans="48:73" x14ac:dyDescent="0.25">
      <c r="AV136" s="9"/>
      <c r="AW136" s="9"/>
      <c r="AX136" s="484" t="s">
        <v>81</v>
      </c>
      <c r="AY136" s="484"/>
      <c r="AZ136" s="408" t="e">
        <f>$AY$126*H16</f>
        <v>#N/A</v>
      </c>
      <c r="BA136" s="9"/>
      <c r="BB136" s="9"/>
      <c r="BC136" s="9"/>
      <c r="BD136" s="9"/>
      <c r="BE136" s="9"/>
      <c r="BF136" s="9"/>
      <c r="BG136" s="9"/>
      <c r="BH136" s="473"/>
      <c r="BI136" s="474"/>
      <c r="BJ136" s="9"/>
      <c r="BK136" s="9"/>
      <c r="BL136" s="484" t="s">
        <v>81</v>
      </c>
      <c r="BM136" s="484"/>
      <c r="BN136" s="408" t="e">
        <f>$BM$126*H16</f>
        <v>#N/A</v>
      </c>
      <c r="BO136" s="9"/>
      <c r="BP136" s="9"/>
      <c r="BQ136" s="9"/>
      <c r="BR136" s="9"/>
      <c r="BS136" s="9"/>
      <c r="BT136" s="9"/>
      <c r="BU136" s="9"/>
    </row>
    <row r="137" spans="48:73" x14ac:dyDescent="0.25">
      <c r="AV137" s="9"/>
      <c r="AW137" s="9"/>
      <c r="AX137" s="484" t="s">
        <v>82</v>
      </c>
      <c r="AY137" s="484"/>
      <c r="AZ137" s="408" t="e">
        <f>$AY$126*H17</f>
        <v>#N/A</v>
      </c>
      <c r="BA137" s="9"/>
      <c r="BB137" s="9"/>
      <c r="BC137" s="9"/>
      <c r="BD137" s="9"/>
      <c r="BE137" s="9"/>
      <c r="BF137" s="9"/>
      <c r="BG137" s="9"/>
      <c r="BH137" s="473"/>
      <c r="BI137" s="474"/>
      <c r="BJ137" s="9"/>
      <c r="BK137" s="9"/>
      <c r="BL137" s="484" t="s">
        <v>82</v>
      </c>
      <c r="BM137" s="484"/>
      <c r="BN137" s="408" t="e">
        <f>$BM$126*H17</f>
        <v>#N/A</v>
      </c>
      <c r="BO137" s="9"/>
      <c r="BP137" s="9"/>
      <c r="BQ137" s="9"/>
      <c r="BR137" s="9"/>
      <c r="BS137" s="9"/>
      <c r="BT137" s="9"/>
      <c r="BU137" s="9"/>
    </row>
    <row r="138" spans="48:73" x14ac:dyDescent="0.25">
      <c r="AV138" s="9"/>
      <c r="AW138" s="9"/>
      <c r="AX138" s="484" t="s">
        <v>86</v>
      </c>
      <c r="AY138" s="484"/>
      <c r="AZ138" s="408">
        <f>$AY$126*H18</f>
        <v>0</v>
      </c>
      <c r="BA138" s="9"/>
      <c r="BB138" s="9"/>
      <c r="BC138" s="9"/>
      <c r="BD138" s="9"/>
      <c r="BE138" s="9"/>
      <c r="BF138" s="9"/>
      <c r="BG138" s="9"/>
      <c r="BH138" s="473"/>
      <c r="BI138" s="474"/>
      <c r="BJ138" s="9"/>
      <c r="BK138" s="9"/>
      <c r="BL138" s="484" t="s">
        <v>86</v>
      </c>
      <c r="BM138" s="484"/>
      <c r="BN138" s="408">
        <f>$BM$126*H18</f>
        <v>0</v>
      </c>
      <c r="BO138" s="9"/>
      <c r="BP138" s="9"/>
      <c r="BQ138" s="9"/>
      <c r="BR138" s="9"/>
      <c r="BS138" s="9"/>
      <c r="BT138" s="9"/>
      <c r="BU138" s="9"/>
    </row>
    <row r="139" spans="48:73" x14ac:dyDescent="0.25">
      <c r="AV139" s="9"/>
      <c r="AW139" s="9"/>
      <c r="AX139" s="485" t="s">
        <v>85</v>
      </c>
      <c r="AY139" s="485"/>
      <c r="AZ139" s="486" t="e">
        <f>SUM(AZ134:AZ138)</f>
        <v>#N/A</v>
      </c>
      <c r="BA139" s="9"/>
      <c r="BB139" s="9"/>
      <c r="BC139" s="9"/>
      <c r="BD139" s="9"/>
      <c r="BE139" s="9"/>
      <c r="BF139" s="9"/>
      <c r="BG139" s="9"/>
      <c r="BH139" s="473"/>
      <c r="BI139" s="474"/>
      <c r="BJ139" s="9"/>
      <c r="BK139" s="9"/>
      <c r="BL139" s="485" t="s">
        <v>85</v>
      </c>
      <c r="BM139" s="485"/>
      <c r="BN139" s="486" t="e">
        <f>SUM(BN134:BN138)</f>
        <v>#N/A</v>
      </c>
      <c r="BO139" s="9"/>
      <c r="BP139" s="9"/>
      <c r="BQ139" s="9"/>
      <c r="BR139" s="9"/>
      <c r="BS139" s="9"/>
      <c r="BT139" s="9"/>
      <c r="BU139" s="9"/>
    </row>
    <row r="140" spans="48:73" x14ac:dyDescent="0.25">
      <c r="AV140" s="9"/>
      <c r="AW140" s="9"/>
      <c r="AX140" s="9"/>
      <c r="AY140" s="9"/>
      <c r="AZ140" s="9"/>
      <c r="BA140" s="9"/>
      <c r="BB140" s="9"/>
      <c r="BC140" s="9"/>
      <c r="BD140" s="9"/>
      <c r="BE140" s="9"/>
      <c r="BF140" s="9"/>
      <c r="BG140" s="9"/>
      <c r="BH140" s="473"/>
      <c r="BI140" s="474"/>
      <c r="BJ140" s="9"/>
      <c r="BK140" s="9"/>
      <c r="BL140" s="9"/>
      <c r="BM140" s="9"/>
      <c r="BN140" s="9"/>
      <c r="BO140" s="9"/>
      <c r="BP140" s="9"/>
      <c r="BQ140" s="9"/>
      <c r="BR140" s="9"/>
      <c r="BS140" s="9"/>
      <c r="BT140" s="9"/>
      <c r="BU140" s="9"/>
    </row>
    <row r="141" spans="48:73" ht="18.75" x14ac:dyDescent="0.3">
      <c r="AV141" s="9"/>
      <c r="AW141" s="482" t="s">
        <v>184</v>
      </c>
      <c r="AX141" s="9"/>
      <c r="AY141" s="483"/>
      <c r="AZ141" s="9"/>
      <c r="BA141" s="9"/>
      <c r="BB141" s="9"/>
      <c r="BC141" s="9"/>
      <c r="BD141" s="9"/>
      <c r="BE141" s="9"/>
      <c r="BF141" s="9"/>
      <c r="BG141" s="9"/>
      <c r="BH141" s="473"/>
      <c r="BI141" s="474"/>
      <c r="BJ141" s="9"/>
      <c r="BK141" s="482" t="s">
        <v>184</v>
      </c>
      <c r="BL141" s="9"/>
      <c r="BM141" s="483"/>
      <c r="BN141" s="9"/>
      <c r="BO141" s="9"/>
      <c r="BP141" s="9"/>
      <c r="BQ141" s="9"/>
      <c r="BR141" s="9"/>
      <c r="BS141" s="9"/>
      <c r="BT141" s="9"/>
      <c r="BU141" s="9"/>
    </row>
    <row r="142" spans="48:73" x14ac:dyDescent="0.25">
      <c r="AV142" s="9"/>
      <c r="AW142" s="9"/>
      <c r="AX142" s="487"/>
      <c r="AY142" s="487"/>
      <c r="AZ142" s="487"/>
      <c r="BA142" s="484" t="s">
        <v>94</v>
      </c>
      <c r="BB142" s="484"/>
      <c r="BC142" s="9"/>
      <c r="BD142" s="9"/>
      <c r="BE142" s="9"/>
      <c r="BF142" s="9"/>
      <c r="BG142" s="9"/>
      <c r="BH142" s="473"/>
      <c r="BI142" s="474"/>
      <c r="BJ142" s="9"/>
      <c r="BK142" s="9"/>
      <c r="BL142" s="487"/>
      <c r="BM142" s="487"/>
      <c r="BN142" s="487"/>
      <c r="BO142" s="484" t="s">
        <v>94</v>
      </c>
      <c r="BP142" s="484"/>
      <c r="BQ142" s="9"/>
      <c r="BR142" s="9"/>
      <c r="BS142" s="9"/>
      <c r="BT142" s="9"/>
      <c r="BU142" s="9"/>
    </row>
    <row r="143" spans="48:73" x14ac:dyDescent="0.25">
      <c r="AV143" s="9"/>
      <c r="AW143" s="9"/>
      <c r="AX143" s="484" t="s">
        <v>67</v>
      </c>
      <c r="AY143" s="484"/>
      <c r="AZ143" s="484"/>
      <c r="BA143" s="488" t="e">
        <f>$AY$126*H23</f>
        <v>#N/A</v>
      </c>
      <c r="BB143" s="488"/>
      <c r="BC143" s="9"/>
      <c r="BD143" s="9"/>
      <c r="BE143" s="9"/>
      <c r="BF143" s="9"/>
      <c r="BG143" s="9"/>
      <c r="BH143" s="473"/>
      <c r="BI143" s="474"/>
      <c r="BJ143" s="9"/>
      <c r="BK143" s="9"/>
      <c r="BL143" s="484" t="s">
        <v>67</v>
      </c>
      <c r="BM143" s="484"/>
      <c r="BN143" s="484"/>
      <c r="BO143" s="488" t="e">
        <f>$BM$126*H23</f>
        <v>#N/A</v>
      </c>
      <c r="BP143" s="488"/>
      <c r="BQ143" s="9"/>
      <c r="BR143" s="9"/>
      <c r="BS143" s="9"/>
      <c r="BT143" s="9"/>
      <c r="BU143" s="9"/>
    </row>
    <row r="144" spans="48:73" x14ac:dyDescent="0.25">
      <c r="AV144" s="9"/>
      <c r="AW144" s="9"/>
      <c r="AX144" s="484" t="s">
        <v>80</v>
      </c>
      <c r="AY144" s="484"/>
      <c r="AZ144" s="484"/>
      <c r="BA144" s="488" t="e">
        <f>$AY$126*H24</f>
        <v>#N/A</v>
      </c>
      <c r="BB144" s="488"/>
      <c r="BC144" s="9"/>
      <c r="BD144" s="9"/>
      <c r="BE144" s="9"/>
      <c r="BF144" s="9"/>
      <c r="BG144" s="9"/>
      <c r="BH144" s="473"/>
      <c r="BI144" s="474"/>
      <c r="BJ144" s="9"/>
      <c r="BK144" s="9"/>
      <c r="BL144" s="484" t="s">
        <v>80</v>
      </c>
      <c r="BM144" s="484"/>
      <c r="BN144" s="484"/>
      <c r="BO144" s="488" t="e">
        <f>$BM$126*H24</f>
        <v>#N/A</v>
      </c>
      <c r="BP144" s="488"/>
      <c r="BQ144" s="9"/>
      <c r="BR144" s="9"/>
      <c r="BS144" s="9"/>
      <c r="BT144" s="9"/>
      <c r="BU144" s="9"/>
    </row>
    <row r="145" spans="48:73" x14ac:dyDescent="0.25">
      <c r="AV145" s="9"/>
      <c r="AW145" s="9"/>
      <c r="AX145" s="484" t="s">
        <v>81</v>
      </c>
      <c r="AY145" s="484"/>
      <c r="AZ145" s="484"/>
      <c r="BA145" s="488" t="e">
        <f>$AY$126*H25</f>
        <v>#N/A</v>
      </c>
      <c r="BB145" s="488"/>
      <c r="BC145" s="9"/>
      <c r="BD145" s="9"/>
      <c r="BE145" s="9"/>
      <c r="BF145" s="9"/>
      <c r="BG145" s="9"/>
      <c r="BH145" s="473"/>
      <c r="BI145" s="474"/>
      <c r="BJ145" s="9"/>
      <c r="BK145" s="9"/>
      <c r="BL145" s="484" t="s">
        <v>81</v>
      </c>
      <c r="BM145" s="484"/>
      <c r="BN145" s="484"/>
      <c r="BO145" s="488" t="e">
        <f>$BM$126*H25</f>
        <v>#N/A</v>
      </c>
      <c r="BP145" s="488"/>
      <c r="BQ145" s="9"/>
      <c r="BR145" s="9"/>
      <c r="BS145" s="9"/>
      <c r="BT145" s="9"/>
      <c r="BU145" s="9"/>
    </row>
    <row r="146" spans="48:73" x14ac:dyDescent="0.25">
      <c r="AV146" s="9"/>
      <c r="AW146" s="9"/>
      <c r="AX146" s="484" t="s">
        <v>82</v>
      </c>
      <c r="AY146" s="484"/>
      <c r="AZ146" s="484"/>
      <c r="BA146" s="488" t="e">
        <f>$AY$126*H26</f>
        <v>#N/A</v>
      </c>
      <c r="BB146" s="488"/>
      <c r="BC146" s="9"/>
      <c r="BD146" s="9"/>
      <c r="BE146" s="9"/>
      <c r="BF146" s="9"/>
      <c r="BG146" s="9"/>
      <c r="BH146" s="473"/>
      <c r="BI146" s="474"/>
      <c r="BJ146" s="9"/>
      <c r="BK146" s="9"/>
      <c r="BL146" s="484" t="s">
        <v>82</v>
      </c>
      <c r="BM146" s="484"/>
      <c r="BN146" s="484"/>
      <c r="BO146" s="488" t="e">
        <f>$BM$126*H26</f>
        <v>#N/A</v>
      </c>
      <c r="BP146" s="488"/>
      <c r="BQ146" s="9"/>
      <c r="BR146" s="9"/>
      <c r="BS146" s="9"/>
      <c r="BT146" s="9"/>
      <c r="BU146" s="9"/>
    </row>
    <row r="147" spans="48:73" x14ac:dyDescent="0.25">
      <c r="AV147" s="9"/>
      <c r="AW147" s="9"/>
      <c r="AX147" s="484" t="s">
        <v>86</v>
      </c>
      <c r="AY147" s="484"/>
      <c r="AZ147" s="484"/>
      <c r="BA147" s="488">
        <f>$AY$126*H27</f>
        <v>0</v>
      </c>
      <c r="BB147" s="488"/>
      <c r="BC147" s="9"/>
      <c r="BD147" s="9"/>
      <c r="BE147" s="9"/>
      <c r="BF147" s="9"/>
      <c r="BG147" s="9"/>
      <c r="BH147" s="473"/>
      <c r="BI147" s="474"/>
      <c r="BJ147" s="9"/>
      <c r="BK147" s="9"/>
      <c r="BL147" s="484" t="s">
        <v>86</v>
      </c>
      <c r="BM147" s="484"/>
      <c r="BN147" s="484"/>
      <c r="BO147" s="488">
        <f>$BM$126*H27</f>
        <v>0</v>
      </c>
      <c r="BP147" s="488"/>
      <c r="BQ147" s="9"/>
      <c r="BR147" s="9"/>
      <c r="BS147" s="9"/>
      <c r="BT147" s="9"/>
      <c r="BU147" s="9"/>
    </row>
    <row r="148" spans="48:73" x14ac:dyDescent="0.25">
      <c r="AV148" s="9"/>
      <c r="AW148" s="9"/>
      <c r="AX148" s="485" t="s">
        <v>85</v>
      </c>
      <c r="AY148" s="485"/>
      <c r="AZ148" s="485"/>
      <c r="BA148" s="489" t="e">
        <f>SUM(BA143:BB147)</f>
        <v>#N/A</v>
      </c>
      <c r="BB148" s="489"/>
      <c r="BC148" s="9"/>
      <c r="BD148" s="9"/>
      <c r="BE148" s="9"/>
      <c r="BF148" s="9"/>
      <c r="BG148" s="9"/>
      <c r="BH148" s="473"/>
      <c r="BI148" s="474"/>
      <c r="BJ148" s="9"/>
      <c r="BK148" s="9"/>
      <c r="BL148" s="485" t="s">
        <v>85</v>
      </c>
      <c r="BM148" s="485"/>
      <c r="BN148" s="485"/>
      <c r="BO148" s="489" t="e">
        <f>SUM(BO143:BP147)</f>
        <v>#N/A</v>
      </c>
      <c r="BP148" s="489"/>
      <c r="BQ148" s="9"/>
      <c r="BR148" s="9"/>
      <c r="BS148" s="9"/>
      <c r="BT148" s="9"/>
      <c r="BU148" s="9"/>
    </row>
    <row r="149" spans="48:73" x14ac:dyDescent="0.25">
      <c r="AV149" s="9"/>
      <c r="AW149" s="9"/>
      <c r="AX149" s="9"/>
      <c r="AY149" s="9"/>
      <c r="AZ149" s="9"/>
      <c r="BA149" s="9"/>
      <c r="BB149" s="9"/>
      <c r="BC149" s="9"/>
      <c r="BD149" s="9"/>
      <c r="BE149" s="9"/>
      <c r="BF149" s="9"/>
      <c r="BG149" s="9"/>
      <c r="BH149" s="473"/>
      <c r="BI149" s="474"/>
      <c r="BJ149" s="9"/>
      <c r="BK149" s="9"/>
      <c r="BL149" s="9"/>
      <c r="BM149" s="9"/>
      <c r="BN149" s="9"/>
      <c r="BO149" s="9"/>
      <c r="BP149" s="9"/>
      <c r="BQ149" s="9"/>
      <c r="BR149" s="9"/>
      <c r="BS149" s="9"/>
      <c r="BT149" s="9"/>
      <c r="BU149" s="9"/>
    </row>
    <row r="150" spans="48:73" ht="18.75" x14ac:dyDescent="0.3">
      <c r="AV150" s="9"/>
      <c r="AW150" s="9"/>
      <c r="AX150" s="490" t="s">
        <v>169</v>
      </c>
      <c r="AY150" s="9"/>
      <c r="AZ150" s="9"/>
      <c r="BA150" s="9"/>
      <c r="BB150" s="9"/>
      <c r="BC150" s="9"/>
      <c r="BD150" s="9"/>
      <c r="BE150" s="9"/>
      <c r="BF150" s="9"/>
      <c r="BG150" s="9"/>
      <c r="BH150" s="473"/>
      <c r="BI150" s="474"/>
      <c r="BJ150" s="9"/>
      <c r="BK150" s="9"/>
      <c r="BL150" s="490" t="s">
        <v>169</v>
      </c>
      <c r="BM150" s="9"/>
      <c r="BN150" s="9"/>
      <c r="BO150" s="9"/>
      <c r="BP150" s="9"/>
      <c r="BQ150" s="9"/>
      <c r="BR150" s="9"/>
      <c r="BS150" s="9"/>
      <c r="BT150" s="9"/>
      <c r="BU150" s="9"/>
    </row>
    <row r="151" spans="48:73" ht="31.5" x14ac:dyDescent="0.25">
      <c r="AV151" s="9"/>
      <c r="AW151" s="9"/>
      <c r="AX151" s="406" t="s">
        <v>90</v>
      </c>
      <c r="AY151" s="491" t="s">
        <v>264</v>
      </c>
      <c r="AZ151" s="492" t="s">
        <v>92</v>
      </c>
      <c r="BA151" s="406" t="s">
        <v>84</v>
      </c>
      <c r="BB151" s="491" t="s">
        <v>93</v>
      </c>
      <c r="BC151" s="9"/>
      <c r="BD151" s="493" t="s">
        <v>170</v>
      </c>
      <c r="BE151" s="9"/>
      <c r="BF151" s="9"/>
      <c r="BG151" s="9"/>
      <c r="BH151" s="473"/>
      <c r="BI151" s="474"/>
      <c r="BJ151" s="9"/>
      <c r="BK151" s="9"/>
      <c r="BL151" s="406" t="s">
        <v>90</v>
      </c>
      <c r="BM151" s="491" t="s">
        <v>264</v>
      </c>
      <c r="BN151" s="492" t="s">
        <v>92</v>
      </c>
      <c r="BO151" s="406" t="s">
        <v>84</v>
      </c>
      <c r="BP151" s="491" t="s">
        <v>93</v>
      </c>
      <c r="BQ151" s="9"/>
      <c r="BR151" s="493" t="s">
        <v>170</v>
      </c>
      <c r="BS151" s="9"/>
      <c r="BT151" s="9"/>
      <c r="BU151" s="9"/>
    </row>
    <row r="152" spans="48:73" x14ac:dyDescent="0.25">
      <c r="AV152" s="9"/>
      <c r="AW152" s="9"/>
      <c r="AX152" s="406">
        <f>AX33</f>
        <v>15</v>
      </c>
      <c r="AY152" s="494">
        <f>AY33</f>
        <v>0</v>
      </c>
      <c r="AZ152" s="495" t="e">
        <f>(AX153-AX152)/AY152</f>
        <v>#DIV/0!</v>
      </c>
      <c r="BA152" s="494" t="e">
        <f>BA33</f>
        <v>#N/A</v>
      </c>
      <c r="BB152" s="496" t="e">
        <f>AZ152*BA152</f>
        <v>#DIV/0!</v>
      </c>
      <c r="BC152" s="9"/>
      <c r="BD152" s="497" t="e">
        <f ca="1">AY129*Ruokinta!BB152</f>
        <v>#N/A</v>
      </c>
      <c r="BE152" s="9"/>
      <c r="BF152" s="9"/>
      <c r="BG152" s="9"/>
      <c r="BH152" s="473"/>
      <c r="BI152" s="474"/>
      <c r="BJ152" s="9"/>
      <c r="BK152" s="9"/>
      <c r="BL152" s="406">
        <f>AX152</f>
        <v>15</v>
      </c>
      <c r="BM152" s="494">
        <f>AY152</f>
        <v>0</v>
      </c>
      <c r="BN152" s="495" t="e">
        <f>(BL153-BL152)/BM152</f>
        <v>#DIV/0!</v>
      </c>
      <c r="BO152" s="494" t="e">
        <f>BA152</f>
        <v>#N/A</v>
      </c>
      <c r="BP152" s="496" t="e">
        <f>BN152*BO152</f>
        <v>#DIV/0!</v>
      </c>
      <c r="BQ152" s="9"/>
      <c r="BR152" s="497" t="e">
        <f ca="1">BP152*BM129</f>
        <v>#DIV/0!</v>
      </c>
      <c r="BS152" s="9"/>
      <c r="BT152" s="9"/>
      <c r="BU152" s="9"/>
    </row>
    <row r="153" spans="48:73" x14ac:dyDescent="0.25">
      <c r="AV153" s="9"/>
      <c r="AW153" s="9"/>
      <c r="AX153" s="498">
        <f>AX34</f>
        <v>0</v>
      </c>
      <c r="AY153" s="499"/>
      <c r="AZ153" s="500"/>
      <c r="BA153" s="501"/>
      <c r="BB153" s="502"/>
      <c r="BC153" s="9"/>
      <c r="BD153" s="502"/>
      <c r="BE153" s="9"/>
      <c r="BF153" s="9"/>
      <c r="BG153" s="9"/>
      <c r="BH153" s="473"/>
      <c r="BI153" s="474"/>
      <c r="BJ153" s="9"/>
      <c r="BK153" s="9"/>
      <c r="BL153" s="498">
        <f>AX153</f>
        <v>0</v>
      </c>
      <c r="BM153" s="499"/>
      <c r="BN153" s="500"/>
      <c r="BO153" s="501"/>
      <c r="BP153" s="502"/>
      <c r="BQ153" s="9"/>
      <c r="BR153" s="502"/>
      <c r="BS153" s="9"/>
      <c r="BT153" s="9"/>
      <c r="BU153" s="9"/>
    </row>
    <row r="154" spans="48:73" x14ac:dyDescent="0.25">
      <c r="AV154" s="9"/>
      <c r="AW154" s="9"/>
      <c r="AX154" s="9"/>
      <c r="AY154" s="503"/>
      <c r="AZ154" s="503"/>
      <c r="BA154" s="503"/>
      <c r="BB154" s="503"/>
      <c r="BC154" s="503"/>
      <c r="BD154" s="503"/>
      <c r="BE154" s="9"/>
      <c r="BF154" s="9"/>
      <c r="BG154" s="9"/>
      <c r="BH154" s="473"/>
      <c r="BI154" s="474"/>
      <c r="BJ154" s="9"/>
      <c r="BK154" s="9"/>
      <c r="BL154" s="9"/>
      <c r="BM154" s="503"/>
      <c r="BN154" s="503"/>
      <c r="BO154" s="503"/>
      <c r="BP154" s="503"/>
      <c r="BQ154" s="503"/>
      <c r="BR154" s="503"/>
      <c r="BS154" s="9"/>
      <c r="BT154" s="9"/>
      <c r="BU154" s="9"/>
    </row>
    <row r="155" spans="48:73" ht="18.75" x14ac:dyDescent="0.3">
      <c r="AV155" s="9"/>
      <c r="AW155" s="9"/>
      <c r="AX155" s="490" t="s">
        <v>161</v>
      </c>
      <c r="AY155" s="9"/>
      <c r="AZ155" s="9"/>
      <c r="BA155" s="9"/>
      <c r="BB155" s="9"/>
      <c r="BC155" s="9"/>
      <c r="BD155" s="9"/>
      <c r="BE155" s="9"/>
      <c r="BF155" s="9"/>
      <c r="BG155" s="9"/>
      <c r="BH155" s="473"/>
      <c r="BI155" s="474"/>
      <c r="BJ155" s="9"/>
      <c r="BK155" s="9"/>
      <c r="BL155" s="490" t="s">
        <v>161</v>
      </c>
      <c r="BM155" s="9"/>
      <c r="BN155" s="9"/>
      <c r="BO155" s="9"/>
      <c r="BP155" s="9"/>
      <c r="BQ155" s="9"/>
      <c r="BR155" s="9"/>
      <c r="BS155" s="9"/>
      <c r="BT155" s="9"/>
      <c r="BU155" s="9"/>
    </row>
    <row r="156" spans="48:73" ht="31.5" x14ac:dyDescent="0.25">
      <c r="AV156" s="9"/>
      <c r="AW156" s="9"/>
      <c r="AX156" s="406" t="s">
        <v>90</v>
      </c>
      <c r="AY156" s="491" t="s">
        <v>264</v>
      </c>
      <c r="AZ156" s="492" t="s">
        <v>92</v>
      </c>
      <c r="BA156" s="406" t="s">
        <v>84</v>
      </c>
      <c r="BB156" s="491" t="s">
        <v>93</v>
      </c>
      <c r="BC156" s="9"/>
      <c r="BD156" s="493" t="s">
        <v>95</v>
      </c>
      <c r="BE156" s="9"/>
      <c r="BF156" s="9"/>
      <c r="BG156" s="9"/>
      <c r="BH156" s="473"/>
      <c r="BI156" s="474"/>
      <c r="BJ156" s="9"/>
      <c r="BK156" s="9"/>
      <c r="BL156" s="406" t="s">
        <v>90</v>
      </c>
      <c r="BM156" s="491" t="s">
        <v>264</v>
      </c>
      <c r="BN156" s="492" t="s">
        <v>92</v>
      </c>
      <c r="BO156" s="406" t="s">
        <v>84</v>
      </c>
      <c r="BP156" s="491" t="s">
        <v>93</v>
      </c>
      <c r="BQ156" s="9"/>
      <c r="BR156" s="493" t="s">
        <v>95</v>
      </c>
      <c r="BS156" s="9"/>
      <c r="BT156" s="9"/>
      <c r="BU156" s="9"/>
    </row>
    <row r="157" spans="48:73" x14ac:dyDescent="0.25">
      <c r="AV157" s="9"/>
      <c r="AW157" s="9"/>
      <c r="AX157" s="406">
        <f>AX38</f>
        <v>15</v>
      </c>
      <c r="AY157" s="409">
        <f>AY38</f>
        <v>0</v>
      </c>
      <c r="AZ157" s="410" t="e">
        <f>(AX158-AX157)/AY157</f>
        <v>#DIV/0!</v>
      </c>
      <c r="BA157" s="410" t="e">
        <f>BA38</f>
        <v>#N/A</v>
      </c>
      <c r="BB157" s="408" t="e">
        <f>AZ157*BA157</f>
        <v>#DIV/0!</v>
      </c>
      <c r="BC157" s="9"/>
      <c r="BD157" s="504" t="e">
        <f ca="1">(Lähtötiedot!$O$44+Lähtötiedot!$O$46)*BB157</f>
        <v>#N/A</v>
      </c>
      <c r="BE157" s="9"/>
      <c r="BF157" s="9"/>
      <c r="BG157" s="9"/>
      <c r="BH157" s="473"/>
      <c r="BI157" s="474"/>
      <c r="BJ157" s="9"/>
      <c r="BK157" s="9"/>
      <c r="BL157" s="406">
        <v>15</v>
      </c>
      <c r="BM157" s="409">
        <f>AY157</f>
        <v>0</v>
      </c>
      <c r="BN157" s="410" t="e">
        <f>(BL158-BL157)/BM157</f>
        <v>#DIV/0!</v>
      </c>
      <c r="BO157" s="410" t="e">
        <f>BA157</f>
        <v>#N/A</v>
      </c>
      <c r="BP157" s="408" t="e">
        <f>BN157*BO157</f>
        <v>#DIV/0!</v>
      </c>
      <c r="BQ157" s="9"/>
      <c r="BR157" s="504" t="e">
        <f ca="1">(Lähtötiedot!$S$44+Lähtötiedot!$S$46)*BP157</f>
        <v>#N/A</v>
      </c>
      <c r="BS157" s="9"/>
      <c r="BT157" s="9"/>
      <c r="BU157" s="9"/>
    </row>
    <row r="158" spans="48:73" x14ac:dyDescent="0.25">
      <c r="AV158" s="9"/>
      <c r="AW158" s="9"/>
      <c r="AX158" s="406">
        <v>25</v>
      </c>
      <c r="AY158" s="409">
        <f t="shared" ref="AY158:AY160" si="110">AY39</f>
        <v>0</v>
      </c>
      <c r="AZ158" s="410" t="e">
        <f t="shared" ref="AZ158" si="111">(AX159-AX158)/AY158</f>
        <v>#DIV/0!</v>
      </c>
      <c r="BA158" s="410" t="e">
        <f t="shared" ref="BA158:BA160" si="112">BA39</f>
        <v>#N/A</v>
      </c>
      <c r="BB158" s="408" t="e">
        <f>AZ158*BA158</f>
        <v>#DIV/0!</v>
      </c>
      <c r="BC158" s="9"/>
      <c r="BD158" s="504" t="e">
        <f ca="1">(Lähtötiedot!$O$44+Lähtötiedot!$O$46)*BB158</f>
        <v>#N/A</v>
      </c>
      <c r="BE158" s="9"/>
      <c r="BF158" s="9"/>
      <c r="BG158" s="9"/>
      <c r="BH158" s="473"/>
      <c r="BI158" s="474"/>
      <c r="BJ158" s="9"/>
      <c r="BK158" s="9"/>
      <c r="BL158" s="406">
        <v>25</v>
      </c>
      <c r="BM158" s="409">
        <f t="shared" ref="BM158:BM160" si="113">AY158</f>
        <v>0</v>
      </c>
      <c r="BN158" s="410" t="e">
        <f t="shared" ref="BN158" si="114">(BL159-BL158)/BM158</f>
        <v>#DIV/0!</v>
      </c>
      <c r="BO158" s="410" t="e">
        <f t="shared" ref="BO158:BO160" si="115">BA158</f>
        <v>#N/A</v>
      </c>
      <c r="BP158" s="408" t="e">
        <f>BN158*BO158</f>
        <v>#DIV/0!</v>
      </c>
      <c r="BQ158" s="9"/>
      <c r="BR158" s="504" t="e">
        <f ca="1">(Lähtötiedot!$S$44+Lähtötiedot!$S$46)*BP158</f>
        <v>#N/A</v>
      </c>
      <c r="BS158" s="9"/>
      <c r="BT158" s="9"/>
      <c r="BU158" s="9"/>
    </row>
    <row r="159" spans="48:73" x14ac:dyDescent="0.25">
      <c r="AV159" s="9"/>
      <c r="AW159" s="9"/>
      <c r="AX159" s="406">
        <v>35</v>
      </c>
      <c r="AY159" s="409">
        <f t="shared" si="110"/>
        <v>0</v>
      </c>
      <c r="AZ159" s="410" t="e">
        <f>IF(AX161&gt;AX160,((AX160-AX159)/AY159),IF(AX161&lt;AX160,((AX161-AX159)/AY159)))</f>
        <v>#DIV/0!</v>
      </c>
      <c r="BA159" s="410" t="e">
        <f t="shared" si="112"/>
        <v>#N/A</v>
      </c>
      <c r="BB159" s="408" t="e">
        <f>AZ159*BA159</f>
        <v>#DIV/0!</v>
      </c>
      <c r="BC159" s="9"/>
      <c r="BD159" s="504" t="e">
        <f ca="1">(Lähtötiedot!$O$44+Lähtötiedot!$O$46)*BB159</f>
        <v>#N/A</v>
      </c>
      <c r="BE159" s="9"/>
      <c r="BF159" s="9"/>
      <c r="BG159" s="9"/>
      <c r="BH159" s="473"/>
      <c r="BI159" s="474"/>
      <c r="BJ159" s="9"/>
      <c r="BK159" s="9"/>
      <c r="BL159" s="406">
        <v>35</v>
      </c>
      <c r="BM159" s="409">
        <f t="shared" si="113"/>
        <v>0</v>
      </c>
      <c r="BN159" s="410" t="e">
        <f>IF(BL161&gt;BL160,((BL160-BL159)/BM159),IF(BL161&lt;BL160,((BL161-BL159)/BM159)))</f>
        <v>#DIV/0!</v>
      </c>
      <c r="BO159" s="410" t="e">
        <f t="shared" si="115"/>
        <v>#N/A</v>
      </c>
      <c r="BP159" s="408" t="e">
        <f>BN159*BO159</f>
        <v>#DIV/0!</v>
      </c>
      <c r="BQ159" s="9"/>
      <c r="BR159" s="504" t="e">
        <f ca="1">(Lähtötiedot!$S$44+Lähtötiedot!$S$46)*BP159</f>
        <v>#N/A</v>
      </c>
      <c r="BS159" s="9"/>
      <c r="BT159" s="9"/>
      <c r="BU159" s="9"/>
    </row>
    <row r="160" spans="48:73" x14ac:dyDescent="0.25">
      <c r="AV160" s="9"/>
      <c r="AW160" s="9"/>
      <c r="AX160" s="406">
        <v>45</v>
      </c>
      <c r="AY160" s="409">
        <f t="shared" si="110"/>
        <v>0</v>
      </c>
      <c r="AZ160" s="410">
        <f>IF(AX161&gt;45,(AX161-AX160)/AY160,0)</f>
        <v>0</v>
      </c>
      <c r="BA160" s="410" t="e">
        <f t="shared" si="112"/>
        <v>#N/A</v>
      </c>
      <c r="BB160" s="408" t="e">
        <f>AZ160*BA160</f>
        <v>#N/A</v>
      </c>
      <c r="BC160" s="9"/>
      <c r="BD160" s="504" t="e">
        <f ca="1">(Lähtötiedot!$O$44+Lähtötiedot!$O$46)*BB160</f>
        <v>#N/A</v>
      </c>
      <c r="BE160" s="9"/>
      <c r="BF160" s="9"/>
      <c r="BG160" s="9"/>
      <c r="BH160" s="473"/>
      <c r="BI160" s="474"/>
      <c r="BJ160" s="9"/>
      <c r="BK160" s="9"/>
      <c r="BL160" s="406">
        <v>45</v>
      </c>
      <c r="BM160" s="409">
        <f t="shared" si="113"/>
        <v>0</v>
      </c>
      <c r="BN160" s="410">
        <f>IF(BL161&gt;45,(BL161-BL160)/BM160,0)</f>
        <v>0</v>
      </c>
      <c r="BO160" s="410" t="e">
        <f t="shared" si="115"/>
        <v>#N/A</v>
      </c>
      <c r="BP160" s="408" t="e">
        <f>BN160*BO160</f>
        <v>#N/A</v>
      </c>
      <c r="BQ160" s="9"/>
      <c r="BR160" s="504" t="e">
        <f ca="1">(Lähtötiedot!$S$44+Lähtötiedot!$S$46)*BP160</f>
        <v>#N/A</v>
      </c>
      <c r="BS160" s="9"/>
      <c r="BT160" s="9"/>
      <c r="BU160" s="9"/>
    </row>
    <row r="161" spans="1:75" x14ac:dyDescent="0.25">
      <c r="AV161" s="9"/>
      <c r="AW161" s="9"/>
      <c r="AX161" s="406">
        <f>AX42</f>
        <v>0</v>
      </c>
      <c r="AY161" s="409"/>
      <c r="AZ161" s="409"/>
      <c r="BA161" s="410">
        <f>G36</f>
        <v>0</v>
      </c>
      <c r="BB161" s="408"/>
      <c r="BC161" s="9"/>
      <c r="BD161" s="504" t="e">
        <f ca="1">(Lähtötiedot!$O$44+Lähtötiedot!$O$46)*BB161</f>
        <v>#N/A</v>
      </c>
      <c r="BE161" s="9"/>
      <c r="BF161" s="9"/>
      <c r="BG161" s="9"/>
      <c r="BH161" s="473"/>
      <c r="BI161" s="474"/>
      <c r="BJ161" s="9"/>
      <c r="BK161" s="9"/>
      <c r="BL161" s="406">
        <f>AX161</f>
        <v>0</v>
      </c>
      <c r="BM161" s="409"/>
      <c r="BN161" s="409"/>
      <c r="BO161" s="410">
        <f t="shared" ref="BO161" si="116">BA161</f>
        <v>0</v>
      </c>
      <c r="BP161" s="408"/>
      <c r="BQ161" s="9"/>
      <c r="BR161" s="504" t="e">
        <f ca="1">(Lähtötiedot!$S$44+Lähtötiedot!$S$46)*BP161</f>
        <v>#N/A</v>
      </c>
      <c r="BS161" s="9"/>
      <c r="BT161" s="9"/>
      <c r="BU161" s="9"/>
    </row>
    <row r="162" spans="1:75" x14ac:dyDescent="0.25">
      <c r="AV162" s="9"/>
      <c r="AW162" s="9"/>
      <c r="AX162" s="505" t="s">
        <v>85</v>
      </c>
      <c r="AY162" s="506"/>
      <c r="AZ162" s="507" t="e">
        <f>SUM(AZ157:AZ160)+Lähtötiedot!AD139</f>
        <v>#DIV/0!</v>
      </c>
      <c r="BA162" s="506"/>
      <c r="BB162" s="486" t="e">
        <f>SUM(BB157:BB160)</f>
        <v>#DIV/0!</v>
      </c>
      <c r="BC162" s="9"/>
      <c r="BD162" s="486" t="e">
        <f ca="1">SUM(BD157:BD161)</f>
        <v>#N/A</v>
      </c>
      <c r="BE162" s="9"/>
      <c r="BF162" s="9"/>
      <c r="BG162" s="9"/>
      <c r="BH162" s="473"/>
      <c r="BI162" s="474"/>
      <c r="BJ162" s="9"/>
      <c r="BK162" s="9"/>
      <c r="BL162" s="505" t="s">
        <v>85</v>
      </c>
      <c r="BM162" s="506"/>
      <c r="BN162" s="507" t="e">
        <f>SUM(BN157:BN160)+Lähtötiedot!AP139</f>
        <v>#DIV/0!</v>
      </c>
      <c r="BO162" s="506"/>
      <c r="BP162" s="486" t="e">
        <f>SUM(BP157:BP160)</f>
        <v>#DIV/0!</v>
      </c>
      <c r="BQ162" s="9"/>
      <c r="BR162" s="486" t="e">
        <f ca="1">SUM(BR157:BR161)</f>
        <v>#N/A</v>
      </c>
      <c r="BS162" s="9"/>
      <c r="BT162" s="9"/>
      <c r="BU162" s="9"/>
    </row>
    <row r="163" spans="1:75" x14ac:dyDescent="0.25">
      <c r="AV163" s="9"/>
      <c r="AW163" s="9"/>
      <c r="AX163" s="9"/>
      <c r="AY163" s="9"/>
      <c r="AZ163" s="9"/>
      <c r="BA163" s="9"/>
      <c r="BB163" s="9"/>
      <c r="BC163" s="9"/>
      <c r="BD163" s="9"/>
      <c r="BE163" s="9"/>
      <c r="BF163" s="9"/>
      <c r="BG163" s="9"/>
      <c r="BH163" s="473"/>
      <c r="BI163" s="474"/>
      <c r="BJ163" s="9"/>
      <c r="BK163" s="9"/>
      <c r="BL163" s="9"/>
      <c r="BM163" s="9"/>
      <c r="BN163" s="9"/>
      <c r="BO163" s="9"/>
      <c r="BP163" s="9"/>
      <c r="BQ163" s="9"/>
      <c r="BR163" s="9"/>
      <c r="BS163" s="9"/>
      <c r="BT163" s="9"/>
      <c r="BU163" s="9"/>
    </row>
    <row r="164" spans="1:75" ht="18.75" x14ac:dyDescent="0.3">
      <c r="AV164" s="9"/>
      <c r="AW164" s="9"/>
      <c r="AX164" s="482" t="s">
        <v>167</v>
      </c>
      <c r="AY164" s="483"/>
      <c r="AZ164" s="9"/>
      <c r="BA164" s="9"/>
      <c r="BB164" s="9"/>
      <c r="BC164" s="9"/>
      <c r="BD164" s="9"/>
      <c r="BE164" s="9"/>
      <c r="BF164" s="9"/>
      <c r="BG164" s="9"/>
      <c r="BH164" s="473"/>
      <c r="BI164" s="474"/>
      <c r="BJ164" s="9"/>
      <c r="BK164" s="9"/>
      <c r="BL164" s="482" t="s">
        <v>167</v>
      </c>
      <c r="BM164" s="483"/>
      <c r="BN164" s="9"/>
      <c r="BO164" s="9"/>
      <c r="BP164" s="9"/>
      <c r="BQ164" s="9"/>
      <c r="BR164" s="9"/>
      <c r="BS164" s="9"/>
      <c r="BT164" s="9"/>
      <c r="BU164" s="9"/>
    </row>
    <row r="165" spans="1:75" ht="31.5" x14ac:dyDescent="0.25">
      <c r="AV165" s="9"/>
      <c r="AW165" s="9"/>
      <c r="AX165" s="406" t="s">
        <v>90</v>
      </c>
      <c r="AY165" s="491" t="s">
        <v>264</v>
      </c>
      <c r="AZ165" s="492" t="s">
        <v>92</v>
      </c>
      <c r="BA165" s="406" t="s">
        <v>84</v>
      </c>
      <c r="BB165" s="491" t="s">
        <v>93</v>
      </c>
      <c r="BC165" s="9"/>
      <c r="BD165" s="493" t="s">
        <v>95</v>
      </c>
      <c r="BE165" s="9"/>
      <c r="BF165" s="9"/>
      <c r="BG165" s="9"/>
      <c r="BH165" s="473"/>
      <c r="BI165" s="474"/>
      <c r="BJ165" s="9"/>
      <c r="BK165" s="9"/>
      <c r="BL165" s="406" t="s">
        <v>90</v>
      </c>
      <c r="BM165" s="491" t="s">
        <v>264</v>
      </c>
      <c r="BN165" s="492" t="s">
        <v>92</v>
      </c>
      <c r="BO165" s="406" t="s">
        <v>84</v>
      </c>
      <c r="BP165" s="491" t="s">
        <v>93</v>
      </c>
      <c r="BQ165" s="9"/>
      <c r="BR165" s="493" t="s">
        <v>95</v>
      </c>
      <c r="BS165" s="9"/>
      <c r="BT165" s="9"/>
      <c r="BU165" s="9"/>
    </row>
    <row r="166" spans="1:75" x14ac:dyDescent="0.25">
      <c r="AV166" s="9"/>
      <c r="AW166" s="9"/>
      <c r="AX166" s="406">
        <f>AX47</f>
        <v>15</v>
      </c>
      <c r="AY166" s="409">
        <f>AY47</f>
        <v>0</v>
      </c>
      <c r="AZ166" s="410" t="e">
        <f>(AX167-AX166)/AY166</f>
        <v>#DIV/0!</v>
      </c>
      <c r="BA166" s="410" t="e">
        <f>BA47</f>
        <v>#N/A</v>
      </c>
      <c r="BB166" s="408" t="e">
        <f>AZ166*BA166</f>
        <v>#DIV/0!</v>
      </c>
      <c r="BC166" s="9"/>
      <c r="BD166" s="504" t="e">
        <f>$AY$9*BB166</f>
        <v>#DIV/0!</v>
      </c>
      <c r="BE166" s="9"/>
      <c r="BF166" s="9"/>
      <c r="BG166" s="9"/>
      <c r="BH166" s="473"/>
      <c r="BI166" s="474"/>
      <c r="BJ166" s="9"/>
      <c r="BK166" s="9"/>
      <c r="BL166" s="406">
        <v>15</v>
      </c>
      <c r="BM166" s="409">
        <f>AY166</f>
        <v>0</v>
      </c>
      <c r="BN166" s="410" t="e">
        <f>(BL167-BL166)/BM166</f>
        <v>#DIV/0!</v>
      </c>
      <c r="BO166" s="410" t="e">
        <f>BA166</f>
        <v>#N/A</v>
      </c>
      <c r="BP166" s="408" t="e">
        <f>BN166*BO166</f>
        <v>#DIV/0!</v>
      </c>
      <c r="BQ166" s="9"/>
      <c r="BR166" s="504" t="e">
        <f>BP166*$BM$128</f>
        <v>#DIV/0!</v>
      </c>
      <c r="BS166" s="9"/>
      <c r="BT166" s="9"/>
      <c r="BU166" s="9"/>
    </row>
    <row r="167" spans="1:75" x14ac:dyDescent="0.25">
      <c r="AV167" s="9"/>
      <c r="AW167" s="9"/>
      <c r="AX167" s="406">
        <v>25</v>
      </c>
      <c r="AY167" s="409">
        <f t="shared" ref="AY167:AY169" si="117">AY48</f>
        <v>0</v>
      </c>
      <c r="AZ167" s="410" t="e">
        <f>(AX168-AX167)/AY167</f>
        <v>#DIV/0!</v>
      </c>
      <c r="BA167" s="410" t="e">
        <f t="shared" ref="BA167:BA169" si="118">BA48</f>
        <v>#N/A</v>
      </c>
      <c r="BB167" s="408" t="e">
        <f>AZ167*BA167</f>
        <v>#DIV/0!</v>
      </c>
      <c r="BC167" s="9"/>
      <c r="BD167" s="504" t="e">
        <f t="shared" ref="BD167:BD171" si="119">$AY$9*BB167</f>
        <v>#DIV/0!</v>
      </c>
      <c r="BE167" s="9"/>
      <c r="BF167" s="9"/>
      <c r="BG167" s="9"/>
      <c r="BH167" s="473"/>
      <c r="BI167" s="474"/>
      <c r="BJ167" s="9"/>
      <c r="BK167" s="9"/>
      <c r="BL167" s="406">
        <v>25</v>
      </c>
      <c r="BM167" s="409">
        <f t="shared" ref="BM167:BM169" si="120">AY167</f>
        <v>0</v>
      </c>
      <c r="BN167" s="410" t="e">
        <f>(BL168-BL167)/BM167</f>
        <v>#DIV/0!</v>
      </c>
      <c r="BO167" s="410" t="e">
        <f t="shared" ref="BO167:BO169" si="121">BA167</f>
        <v>#N/A</v>
      </c>
      <c r="BP167" s="408" t="e">
        <f>BN167*BO167</f>
        <v>#DIV/0!</v>
      </c>
      <c r="BQ167" s="9"/>
      <c r="BR167" s="504" t="e">
        <f t="shared" ref="BR167:BR171" si="122">BP167*$BM$128</f>
        <v>#DIV/0!</v>
      </c>
      <c r="BS167" s="9"/>
      <c r="BT167" s="9"/>
      <c r="BU167" s="9"/>
    </row>
    <row r="168" spans="1:75" x14ac:dyDescent="0.25">
      <c r="AV168" s="9"/>
      <c r="AW168" s="9"/>
      <c r="AX168" s="406">
        <v>35</v>
      </c>
      <c r="AY168" s="409">
        <f t="shared" si="117"/>
        <v>0</v>
      </c>
      <c r="AZ168" s="410" t="e">
        <f>IF(AX170&gt;AX169,((AX169-AX168)/AY168),IF(AX170&lt;AX169,((AX170-AX168)/AY168)))</f>
        <v>#DIV/0!</v>
      </c>
      <c r="BA168" s="410" t="e">
        <f t="shared" si="118"/>
        <v>#N/A</v>
      </c>
      <c r="BB168" s="408" t="e">
        <f>AZ168*BA168</f>
        <v>#DIV/0!</v>
      </c>
      <c r="BC168" s="9"/>
      <c r="BD168" s="504" t="e">
        <f t="shared" si="119"/>
        <v>#DIV/0!</v>
      </c>
      <c r="BE168" s="9"/>
      <c r="BF168" s="9"/>
      <c r="BG168" s="9"/>
      <c r="BH168" s="473"/>
      <c r="BI168" s="474"/>
      <c r="BJ168" s="9"/>
      <c r="BK168" s="9"/>
      <c r="BL168" s="406">
        <v>35</v>
      </c>
      <c r="BM168" s="409">
        <f t="shared" si="120"/>
        <v>0</v>
      </c>
      <c r="BN168" s="410" t="e">
        <f>IF(BL170&gt;BL169,((BL169-BL168)/BM168),IF(BL170&lt;BL169,((BL170-BL168)/BM168)))</f>
        <v>#DIV/0!</v>
      </c>
      <c r="BO168" s="410" t="e">
        <f t="shared" si="121"/>
        <v>#N/A</v>
      </c>
      <c r="BP168" s="408" t="e">
        <f>BN168*BO168</f>
        <v>#DIV/0!</v>
      </c>
      <c r="BQ168" s="9"/>
      <c r="BR168" s="504" t="e">
        <f t="shared" si="122"/>
        <v>#DIV/0!</v>
      </c>
      <c r="BS168" s="9"/>
      <c r="BT168" s="9"/>
      <c r="BU168" s="9"/>
    </row>
    <row r="169" spans="1:75" x14ac:dyDescent="0.25">
      <c r="AV169" s="9"/>
      <c r="AW169" s="9"/>
      <c r="AX169" s="406">
        <v>45</v>
      </c>
      <c r="AY169" s="409">
        <f t="shared" si="117"/>
        <v>0</v>
      </c>
      <c r="AZ169" s="410">
        <f>IF(AX170&gt;45,(AX170-AX169)/AY169,0)</f>
        <v>0</v>
      </c>
      <c r="BA169" s="410" t="e">
        <f t="shared" si="118"/>
        <v>#N/A</v>
      </c>
      <c r="BB169" s="408" t="e">
        <f>AZ169*BA169</f>
        <v>#N/A</v>
      </c>
      <c r="BC169" s="9"/>
      <c r="BD169" s="504" t="e">
        <f t="shared" si="119"/>
        <v>#N/A</v>
      </c>
      <c r="BE169" s="9"/>
      <c r="BF169" s="9"/>
      <c r="BG169" s="9"/>
      <c r="BH169" s="473"/>
      <c r="BI169" s="474"/>
      <c r="BJ169" s="9"/>
      <c r="BK169" s="9"/>
      <c r="BL169" s="406">
        <v>45</v>
      </c>
      <c r="BM169" s="409">
        <f t="shared" si="120"/>
        <v>0</v>
      </c>
      <c r="BN169" s="410">
        <f>IF(BL170&gt;45,(BL170-BL169)/BM169,0)</f>
        <v>0</v>
      </c>
      <c r="BO169" s="410" t="e">
        <f t="shared" si="121"/>
        <v>#N/A</v>
      </c>
      <c r="BP169" s="408" t="e">
        <f>BN169*BO169</f>
        <v>#N/A</v>
      </c>
      <c r="BQ169" s="9"/>
      <c r="BR169" s="504" t="e">
        <f t="shared" si="122"/>
        <v>#N/A</v>
      </c>
      <c r="BS169" s="9"/>
      <c r="BT169" s="9"/>
      <c r="BU169" s="9"/>
    </row>
    <row r="170" spans="1:75" x14ac:dyDescent="0.25">
      <c r="AV170" s="9"/>
      <c r="AW170" s="9"/>
      <c r="AX170" s="406">
        <f>AX51</f>
        <v>0</v>
      </c>
      <c r="AY170" s="409"/>
      <c r="AZ170" s="408"/>
      <c r="BA170" s="410">
        <f>G45</f>
        <v>0</v>
      </c>
      <c r="BB170" s="408"/>
      <c r="BC170" s="9"/>
      <c r="BD170" s="504">
        <f t="shared" si="119"/>
        <v>0</v>
      </c>
      <c r="BE170" s="9"/>
      <c r="BF170" s="9"/>
      <c r="BG170" s="9"/>
      <c r="BH170" s="473"/>
      <c r="BI170" s="474"/>
      <c r="BJ170" s="9"/>
      <c r="BK170" s="9"/>
      <c r="BL170" s="406">
        <f>AX170</f>
        <v>0</v>
      </c>
      <c r="BM170" s="409"/>
      <c r="BN170" s="408"/>
      <c r="BO170" s="410">
        <f t="shared" ref="BO170" si="123">BA170</f>
        <v>0</v>
      </c>
      <c r="BP170" s="408"/>
      <c r="BQ170" s="9"/>
      <c r="BR170" s="504">
        <f t="shared" si="122"/>
        <v>0</v>
      </c>
      <c r="BS170" s="9"/>
      <c r="BT170" s="9"/>
      <c r="BU170" s="9"/>
    </row>
    <row r="171" spans="1:75" x14ac:dyDescent="0.25">
      <c r="AV171" s="9"/>
      <c r="AW171" s="9"/>
      <c r="AX171" s="508" t="s">
        <v>67</v>
      </c>
      <c r="AY171" s="409"/>
      <c r="AZ171" s="408" t="e">
        <f>AZ52</f>
        <v>#DIV/0!</v>
      </c>
      <c r="BA171" s="410">
        <f>BA52</f>
        <v>6.3</v>
      </c>
      <c r="BB171" s="408" t="e">
        <f>AZ171*BA171</f>
        <v>#DIV/0!</v>
      </c>
      <c r="BC171" s="9"/>
      <c r="BD171" s="504" t="e">
        <f t="shared" si="119"/>
        <v>#DIV/0!</v>
      </c>
      <c r="BE171" s="9"/>
      <c r="BF171" s="9"/>
      <c r="BG171" s="9"/>
      <c r="BH171" s="473"/>
      <c r="BI171" s="474"/>
      <c r="BJ171" s="9"/>
      <c r="BK171" s="9"/>
      <c r="BL171" s="508" t="s">
        <v>67</v>
      </c>
      <c r="BM171" s="409"/>
      <c r="BN171" s="408" t="e">
        <f>AZ171</f>
        <v>#DIV/0!</v>
      </c>
      <c r="BO171" s="410">
        <f>BA171</f>
        <v>6.3</v>
      </c>
      <c r="BP171" s="408" t="e">
        <f>BN171*BO171</f>
        <v>#DIV/0!</v>
      </c>
      <c r="BQ171" s="9"/>
      <c r="BR171" s="504" t="e">
        <f t="shared" si="122"/>
        <v>#DIV/0!</v>
      </c>
      <c r="BS171" s="9"/>
      <c r="BT171" s="9"/>
      <c r="BU171" s="9"/>
    </row>
    <row r="172" spans="1:75" x14ac:dyDescent="0.25">
      <c r="AV172" s="9"/>
      <c r="AW172" s="9"/>
      <c r="AX172" s="505" t="s">
        <v>85</v>
      </c>
      <c r="AY172" s="506"/>
      <c r="AZ172" s="507" t="e">
        <f>AZ53</f>
        <v>#DIV/0!</v>
      </c>
      <c r="BA172" s="506"/>
      <c r="BB172" s="486" t="e">
        <f>SUM(BB166:BB169)</f>
        <v>#DIV/0!</v>
      </c>
      <c r="BC172" s="9"/>
      <c r="BD172" s="509" t="e">
        <f>SUM(BD166:BD171)</f>
        <v>#DIV/0!</v>
      </c>
      <c r="BE172" s="9"/>
      <c r="BF172" s="9"/>
      <c r="BG172" s="9"/>
      <c r="BH172" s="473"/>
      <c r="BI172" s="474"/>
      <c r="BJ172" s="9"/>
      <c r="BK172" s="9"/>
      <c r="BL172" s="505" t="s">
        <v>85</v>
      </c>
      <c r="BM172" s="506"/>
      <c r="BN172" s="507" t="e">
        <f>AZ172</f>
        <v>#DIV/0!</v>
      </c>
      <c r="BO172" s="506"/>
      <c r="BP172" s="486" t="e">
        <f>SUM(BP166:BP169)</f>
        <v>#DIV/0!</v>
      </c>
      <c r="BQ172" s="9"/>
      <c r="BR172" s="509" t="e">
        <f>SUM(BR166:BR171)</f>
        <v>#DIV/0!</v>
      </c>
      <c r="BS172" s="9"/>
      <c r="BT172" s="9"/>
      <c r="BU172" s="9"/>
    </row>
    <row r="173" spans="1:75" x14ac:dyDescent="0.25">
      <c r="AV173" s="9"/>
      <c r="AW173" s="9"/>
      <c r="AX173" s="9"/>
      <c r="AY173" s="9"/>
      <c r="AZ173" s="9"/>
      <c r="BA173" s="9"/>
      <c r="BB173" s="9"/>
      <c r="BC173" s="9"/>
      <c r="BD173" s="9"/>
      <c r="BE173" s="9"/>
      <c r="BF173" s="9"/>
      <c r="BG173" s="9"/>
      <c r="BH173" s="473"/>
      <c r="BI173" s="474"/>
      <c r="BJ173" s="9"/>
      <c r="BK173" s="9"/>
      <c r="BL173" s="9"/>
      <c r="BM173" s="9"/>
      <c r="BN173" s="9"/>
      <c r="BO173" s="9"/>
      <c r="BP173" s="9"/>
      <c r="BQ173" s="9"/>
      <c r="BR173" s="9"/>
      <c r="BS173" s="9"/>
      <c r="BT173" s="9"/>
      <c r="BU173" s="9"/>
    </row>
    <row r="174" spans="1:75" s="122" customFormat="1" ht="18.75" x14ac:dyDescent="0.3">
      <c r="A174" s="308"/>
      <c r="R174" s="308"/>
      <c r="S174" s="311"/>
      <c r="AF174" s="311"/>
      <c r="AG174" s="308"/>
      <c r="AT174" s="308"/>
      <c r="AU174" s="311"/>
      <c r="AV174" s="9"/>
      <c r="AW174" s="490" t="s">
        <v>230</v>
      </c>
      <c r="AX174" s="9"/>
      <c r="AY174" s="9"/>
      <c r="AZ174" s="9"/>
      <c r="BA174" s="9"/>
      <c r="BB174" s="9"/>
      <c r="BC174" s="9"/>
      <c r="BD174" s="9"/>
      <c r="BE174" s="9"/>
      <c r="BF174" s="9"/>
      <c r="BG174" s="9"/>
      <c r="BH174" s="473"/>
      <c r="BI174" s="474"/>
      <c r="BJ174" s="9"/>
      <c r="BK174" s="490" t="s">
        <v>230</v>
      </c>
      <c r="BL174" s="9"/>
      <c r="BM174" s="9"/>
      <c r="BN174" s="9"/>
      <c r="BO174" s="9"/>
      <c r="BP174" s="9"/>
      <c r="BQ174" s="9"/>
      <c r="BR174" s="9"/>
      <c r="BS174" s="9"/>
      <c r="BT174" s="9"/>
      <c r="BU174" s="9"/>
      <c r="BV174" s="308"/>
      <c r="BW174" s="311"/>
    </row>
    <row r="175" spans="1:75" s="122" customFormat="1" ht="30" x14ac:dyDescent="0.25">
      <c r="A175" s="308"/>
      <c r="R175" s="308"/>
      <c r="S175" s="311"/>
      <c r="AF175" s="311"/>
      <c r="AG175" s="308"/>
      <c r="AT175" s="308"/>
      <c r="AU175" s="311"/>
      <c r="AV175" s="9"/>
      <c r="AW175" s="9"/>
      <c r="AX175" s="406" t="s">
        <v>90</v>
      </c>
      <c r="AY175" s="491" t="s">
        <v>84</v>
      </c>
      <c r="AZ175" s="492" t="s">
        <v>232</v>
      </c>
      <c r="BA175" s="406" t="s">
        <v>84</v>
      </c>
      <c r="BB175" s="491" t="s">
        <v>233</v>
      </c>
      <c r="BC175" s="9"/>
      <c r="BD175" s="493" t="s">
        <v>231</v>
      </c>
      <c r="BE175" s="9"/>
      <c r="BF175" s="9"/>
      <c r="BG175" s="9"/>
      <c r="BH175" s="473"/>
      <c r="BI175" s="474"/>
      <c r="BJ175" s="9"/>
      <c r="BK175" s="9"/>
      <c r="BL175" s="406" t="s">
        <v>90</v>
      </c>
      <c r="BM175" s="491" t="s">
        <v>84</v>
      </c>
      <c r="BN175" s="492" t="s">
        <v>232</v>
      </c>
      <c r="BO175" s="406" t="s">
        <v>84</v>
      </c>
      <c r="BP175" s="491" t="s">
        <v>233</v>
      </c>
      <c r="BQ175" s="9"/>
      <c r="BR175" s="493" t="s">
        <v>231</v>
      </c>
      <c r="BS175" s="9"/>
      <c r="BT175" s="9"/>
      <c r="BU175" s="9"/>
      <c r="BV175" s="308"/>
      <c r="BW175" s="311"/>
    </row>
    <row r="176" spans="1:75" s="122" customFormat="1" x14ac:dyDescent="0.25">
      <c r="A176" s="308"/>
      <c r="R176" s="308"/>
      <c r="S176" s="311"/>
      <c r="AF176" s="311"/>
      <c r="AG176" s="308"/>
      <c r="AT176" s="308"/>
      <c r="AU176" s="311"/>
      <c r="AV176" s="9"/>
      <c r="AW176" s="9"/>
      <c r="AX176" s="406">
        <f>AX57</f>
        <v>0</v>
      </c>
      <c r="AY176" s="409" t="e">
        <f>AY57</f>
        <v>#N/A</v>
      </c>
      <c r="AZ176" s="409">
        <f>AZ57</f>
        <v>6.3</v>
      </c>
      <c r="BA176" s="409" t="e">
        <f>BA57</f>
        <v>#N/A</v>
      </c>
      <c r="BB176" s="409" t="e">
        <f>BB57</f>
        <v>#N/A</v>
      </c>
      <c r="BC176" s="9"/>
      <c r="BD176" s="509" t="e">
        <f>BB176*Lähtötiedot!O53</f>
        <v>#N/A</v>
      </c>
      <c r="BE176" s="9"/>
      <c r="BF176" s="9"/>
      <c r="BG176" s="9"/>
      <c r="BH176" s="473"/>
      <c r="BI176" s="474"/>
      <c r="BJ176" s="9"/>
      <c r="BK176" s="9"/>
      <c r="BL176" s="406">
        <f>AX176</f>
        <v>0</v>
      </c>
      <c r="BM176" s="409" t="e">
        <f>AY176</f>
        <v>#N/A</v>
      </c>
      <c r="BN176" s="409">
        <f>AZ176</f>
        <v>6.3</v>
      </c>
      <c r="BO176" s="409" t="e">
        <f>BA176</f>
        <v>#N/A</v>
      </c>
      <c r="BP176" s="409" t="e">
        <f>BB176</f>
        <v>#N/A</v>
      </c>
      <c r="BQ176" s="9"/>
      <c r="BR176" s="509" t="e">
        <f ca="1">BP176*Lähtötiedot!S54</f>
        <v>#N/A</v>
      </c>
      <c r="BS176" s="9"/>
      <c r="BT176" s="9"/>
      <c r="BU176" s="9"/>
      <c r="BV176" s="308"/>
      <c r="BW176" s="311"/>
    </row>
    <row r="177" spans="1:75" s="122" customFormat="1" x14ac:dyDescent="0.25">
      <c r="A177" s="308"/>
      <c r="R177" s="308"/>
      <c r="S177" s="311"/>
      <c r="AF177" s="311"/>
      <c r="AG177" s="308"/>
      <c r="AT177" s="308"/>
      <c r="AU177" s="311"/>
      <c r="AV177" s="9"/>
      <c r="AW177" s="9"/>
      <c r="AX177" s="9"/>
      <c r="AY177" s="9"/>
      <c r="AZ177" s="9"/>
      <c r="BA177" s="9"/>
      <c r="BB177" s="9"/>
      <c r="BC177" s="9"/>
      <c r="BD177" s="9"/>
      <c r="BE177" s="9"/>
      <c r="BF177" s="9"/>
      <c r="BG177" s="9"/>
      <c r="BH177" s="473"/>
      <c r="BI177" s="474"/>
      <c r="BJ177" s="9"/>
      <c r="BK177" s="9"/>
      <c r="BL177" s="9"/>
      <c r="BM177" s="9"/>
      <c r="BN177" s="9"/>
      <c r="BO177" s="9"/>
      <c r="BP177" s="9"/>
      <c r="BQ177" s="9"/>
      <c r="BR177" s="9"/>
      <c r="BS177" s="9"/>
      <c r="BT177" s="9"/>
      <c r="BU177" s="9"/>
      <c r="BV177" s="308"/>
      <c r="BW177" s="311"/>
    </row>
    <row r="178" spans="1:75" s="122" customFormat="1" x14ac:dyDescent="0.25">
      <c r="A178" s="308"/>
      <c r="R178" s="308"/>
      <c r="S178" s="311"/>
      <c r="AF178" s="311"/>
      <c r="AG178" s="308"/>
      <c r="AT178" s="308"/>
      <c r="AU178" s="311"/>
      <c r="AV178" s="9"/>
      <c r="AW178" s="9"/>
      <c r="AX178" s="9"/>
      <c r="AY178" s="9"/>
      <c r="AZ178" s="9"/>
      <c r="BA178" s="9"/>
      <c r="BB178" s="9"/>
      <c r="BC178" s="9"/>
      <c r="BD178" s="9"/>
      <c r="BE178" s="9"/>
      <c r="BF178" s="9"/>
      <c r="BG178" s="9"/>
      <c r="BH178" s="473"/>
      <c r="BI178" s="474"/>
      <c r="BJ178" s="9"/>
      <c r="BK178" s="9"/>
      <c r="BL178" s="9"/>
      <c r="BM178" s="9"/>
      <c r="BN178" s="9"/>
      <c r="BO178" s="9"/>
      <c r="BP178" s="9"/>
      <c r="BQ178" s="9"/>
      <c r="BR178" s="9"/>
      <c r="BS178" s="9"/>
      <c r="BT178" s="9"/>
      <c r="BU178" s="9"/>
      <c r="BV178" s="308"/>
      <c r="BW178" s="311"/>
    </row>
    <row r="179" spans="1:75" s="122" customFormat="1" x14ac:dyDescent="0.25">
      <c r="A179" s="308"/>
      <c r="R179" s="308"/>
      <c r="S179" s="311"/>
      <c r="AF179" s="311"/>
      <c r="AG179" s="308"/>
      <c r="AT179" s="308"/>
      <c r="AU179" s="311"/>
      <c r="AV179" s="9"/>
      <c r="AW179" s="9"/>
      <c r="AX179" s="9"/>
      <c r="AY179" s="9"/>
      <c r="AZ179" s="9"/>
      <c r="BA179" s="9"/>
      <c r="BB179" s="9"/>
      <c r="BC179" s="9"/>
      <c r="BD179" s="9"/>
      <c r="BE179" s="9"/>
      <c r="BF179" s="9"/>
      <c r="BG179" s="9"/>
      <c r="BH179" s="473"/>
      <c r="BI179" s="474"/>
      <c r="BJ179" s="9"/>
      <c r="BK179" s="9"/>
      <c r="BL179" s="9"/>
      <c r="BM179" s="9"/>
      <c r="BN179" s="9"/>
      <c r="BO179" s="9"/>
      <c r="BP179" s="9"/>
      <c r="BQ179" s="9"/>
      <c r="BR179" s="9"/>
      <c r="BS179" s="9"/>
      <c r="BT179" s="9"/>
      <c r="BU179" s="9"/>
      <c r="BV179" s="308"/>
      <c r="BW179" s="311"/>
    </row>
    <row r="180" spans="1:75" ht="15.75" thickBot="1" x14ac:dyDescent="0.3">
      <c r="AV180" s="9"/>
      <c r="AW180" s="9"/>
      <c r="AX180" s="9"/>
      <c r="AY180" s="9"/>
      <c r="AZ180" s="9"/>
      <c r="BA180" s="9"/>
      <c r="BB180" s="9"/>
      <c r="BC180" s="9"/>
      <c r="BD180" s="9"/>
      <c r="BE180" s="9"/>
      <c r="BF180" s="9"/>
      <c r="BG180" s="9"/>
      <c r="BH180" s="473"/>
      <c r="BI180" s="474"/>
      <c r="BJ180" s="9"/>
      <c r="BK180" s="9"/>
      <c r="BL180" s="9"/>
      <c r="BM180" s="9"/>
      <c r="BN180" s="9"/>
      <c r="BO180" s="9"/>
      <c r="BP180" s="9"/>
      <c r="BQ180" s="9"/>
      <c r="BR180" s="9"/>
      <c r="BS180" s="9"/>
      <c r="BT180" s="9"/>
      <c r="BU180" s="9"/>
    </row>
    <row r="181" spans="1:75" ht="27" thickBot="1" x14ac:dyDescent="0.45">
      <c r="AV181" s="9"/>
      <c r="AW181" s="9"/>
      <c r="AX181" s="9"/>
      <c r="AY181" s="2"/>
      <c r="AZ181" s="2"/>
      <c r="BA181" s="2"/>
      <c r="BB181" s="2"/>
      <c r="BC181" s="139" t="s">
        <v>19</v>
      </c>
      <c r="BD181" s="353" t="e">
        <f ca="1">BD172+BD162+BD152+BA148</f>
        <v>#DIV/0!</v>
      </c>
      <c r="BE181" s="354"/>
      <c r="BF181" s="9"/>
      <c r="BG181" s="9"/>
      <c r="BH181" s="473"/>
      <c r="BI181" s="474"/>
      <c r="BJ181" s="9"/>
      <c r="BK181" s="9"/>
      <c r="BL181" s="9"/>
      <c r="BM181" s="2"/>
      <c r="BN181" s="2"/>
      <c r="BO181" s="2"/>
      <c r="BP181" s="2"/>
      <c r="BQ181" s="139" t="s">
        <v>19</v>
      </c>
      <c r="BR181" s="353" t="e">
        <f ca="1">BR172+BR162+BR152+BO148+BR176</f>
        <v>#DIV/0!</v>
      </c>
      <c r="BS181" s="354"/>
      <c r="BT181" s="9"/>
      <c r="BU181" s="9"/>
    </row>
    <row r="182" spans="1:75" x14ac:dyDescent="0.25">
      <c r="AV182" s="9"/>
      <c r="AW182" s="9"/>
      <c r="AX182" s="9"/>
      <c r="AY182" s="9"/>
      <c r="AZ182" s="9"/>
      <c r="BA182" s="9"/>
      <c r="BB182" s="9"/>
      <c r="BC182" s="9"/>
      <c r="BD182" s="9"/>
      <c r="BE182" s="9"/>
      <c r="BF182" s="9"/>
      <c r="BG182" s="9"/>
      <c r="BH182" s="473"/>
      <c r="BI182" s="474"/>
      <c r="BJ182" s="9"/>
      <c r="BK182" s="9"/>
      <c r="BL182" s="9"/>
      <c r="BM182" s="9"/>
      <c r="BN182" s="9"/>
      <c r="BO182" s="9"/>
      <c r="BP182" s="9"/>
      <c r="BQ182" s="9"/>
      <c r="BR182" s="9"/>
      <c r="BS182" s="9"/>
      <c r="BT182" s="9"/>
      <c r="BU182" s="9"/>
    </row>
    <row r="183" spans="1:75" x14ac:dyDescent="0.25">
      <c r="AV183" s="9"/>
      <c r="AW183" s="9"/>
      <c r="AX183" s="9"/>
      <c r="AY183" s="9"/>
      <c r="AZ183" s="9"/>
      <c r="BA183" s="9"/>
      <c r="BB183" s="9"/>
      <c r="BC183" s="9"/>
      <c r="BD183" s="9"/>
      <c r="BE183" s="9"/>
      <c r="BF183" s="9"/>
      <c r="BG183" s="9"/>
      <c r="BH183" s="473"/>
      <c r="BI183" s="474"/>
      <c r="BJ183" s="9"/>
      <c r="BK183" s="9"/>
      <c r="BL183" s="9"/>
      <c r="BM183" s="9"/>
      <c r="BN183" s="9"/>
      <c r="BO183" s="9"/>
      <c r="BP183" s="9"/>
      <c r="BQ183" s="9"/>
      <c r="BR183" s="9"/>
      <c r="BS183" s="9"/>
      <c r="BT183" s="9"/>
      <c r="BU183" s="9"/>
    </row>
    <row r="184" spans="1:75" x14ac:dyDescent="0.25">
      <c r="AV184" s="9"/>
      <c r="AW184" s="17"/>
      <c r="AX184" s="17"/>
      <c r="AY184" s="17"/>
      <c r="AZ184" s="17"/>
      <c r="BA184" s="17"/>
      <c r="BB184" s="17"/>
      <c r="BC184" s="17"/>
      <c r="BD184" s="17"/>
      <c r="BE184" s="17"/>
      <c r="BF184" s="17"/>
      <c r="BG184" s="17"/>
      <c r="BH184" s="473"/>
      <c r="BI184" s="474"/>
      <c r="BJ184" s="17"/>
      <c r="BK184" s="17"/>
      <c r="BL184" s="17"/>
      <c r="BM184" s="17"/>
      <c r="BN184" s="17"/>
      <c r="BO184" s="17"/>
      <c r="BP184" s="17"/>
      <c r="BQ184" s="17"/>
      <c r="BR184" s="17"/>
      <c r="BS184" s="17"/>
      <c r="BT184" s="17"/>
      <c r="BU184" s="17"/>
    </row>
    <row r="185" spans="1:75" x14ac:dyDescent="0.25">
      <c r="AV185" s="9"/>
      <c r="AW185" s="241" t="s">
        <v>22</v>
      </c>
      <c r="AX185" s="17"/>
      <c r="AY185" s="18"/>
      <c r="AZ185" s="19"/>
      <c r="BA185" s="19" t="s">
        <v>2</v>
      </c>
      <c r="BB185" s="17"/>
      <c r="BC185" s="17"/>
      <c r="BD185" s="17"/>
      <c r="BE185" s="17"/>
      <c r="BF185" s="19" t="s">
        <v>2</v>
      </c>
      <c r="BG185" s="17"/>
      <c r="BH185" s="473"/>
      <c r="BI185" s="474"/>
      <c r="BJ185" s="17"/>
      <c r="BK185" s="241" t="s">
        <v>22</v>
      </c>
      <c r="BL185" s="17"/>
      <c r="BM185" s="18"/>
      <c r="BN185" s="19"/>
      <c r="BO185" s="19" t="s">
        <v>2</v>
      </c>
      <c r="BP185" s="17"/>
      <c r="BQ185" s="17"/>
      <c r="BR185" s="17"/>
      <c r="BS185" s="17"/>
      <c r="BT185" s="19" t="s">
        <v>2</v>
      </c>
      <c r="BU185" s="17"/>
    </row>
    <row r="186" spans="1:75" x14ac:dyDescent="0.25">
      <c r="AV186" s="9"/>
      <c r="AW186" s="17"/>
      <c r="AX186" s="17"/>
      <c r="AY186" s="19" t="s">
        <v>3</v>
      </c>
      <c r="AZ186" s="19" t="s">
        <v>4</v>
      </c>
      <c r="BA186" s="240" t="s">
        <v>5</v>
      </c>
      <c r="BB186" s="19"/>
      <c r="BC186" s="237" t="s">
        <v>6</v>
      </c>
      <c r="BD186" s="19"/>
      <c r="BE186" s="238" t="s">
        <v>7</v>
      </c>
      <c r="BF186" s="20" t="s">
        <v>8</v>
      </c>
      <c r="BG186" s="17"/>
      <c r="BH186" s="473"/>
      <c r="BI186" s="474"/>
      <c r="BJ186" s="17"/>
      <c r="BK186" s="17"/>
      <c r="BL186" s="17"/>
      <c r="BM186" s="19" t="s">
        <v>3</v>
      </c>
      <c r="BN186" s="19" t="s">
        <v>4</v>
      </c>
      <c r="BO186" s="240" t="s">
        <v>5</v>
      </c>
      <c r="BP186" s="19"/>
      <c r="BQ186" s="237" t="s">
        <v>6</v>
      </c>
      <c r="BR186" s="19"/>
      <c r="BS186" s="238" t="s">
        <v>7</v>
      </c>
      <c r="BT186" s="20" t="s">
        <v>8</v>
      </c>
      <c r="BU186" s="17"/>
    </row>
    <row r="187" spans="1:75" x14ac:dyDescent="0.25">
      <c r="AV187" s="9"/>
      <c r="AW187" s="17"/>
      <c r="AX187" s="428">
        <f>D68</f>
        <v>0</v>
      </c>
      <c r="AY187" s="432">
        <f>E68</f>
        <v>0</v>
      </c>
      <c r="AZ187" s="431">
        <f>F68</f>
        <v>0</v>
      </c>
      <c r="BA187" s="8">
        <f>AY187*AZ187</f>
        <v>0</v>
      </c>
      <c r="BB187" s="19"/>
      <c r="BC187" s="431">
        <f>I68</f>
        <v>0</v>
      </c>
      <c r="BD187" s="19"/>
      <c r="BE187" s="8">
        <f t="shared" ref="BE187:BE193" si="124">AZ187*BC187/1000</f>
        <v>0</v>
      </c>
      <c r="BF187" s="8">
        <f t="shared" ref="BF187:BF193" si="125">BE187*AY187</f>
        <v>0</v>
      </c>
      <c r="BG187" s="17"/>
      <c r="BH187" s="473"/>
      <c r="BI187" s="474"/>
      <c r="BJ187" s="17"/>
      <c r="BK187" s="17"/>
      <c r="BL187" s="428">
        <f>D68</f>
        <v>0</v>
      </c>
      <c r="BM187" s="432">
        <f t="shared" ref="BM187:BM192" si="126">E68</f>
        <v>0</v>
      </c>
      <c r="BN187" s="431">
        <f>F68</f>
        <v>0</v>
      </c>
      <c r="BO187" s="8">
        <f>BM187*BN187</f>
        <v>0</v>
      </c>
      <c r="BP187" s="19"/>
      <c r="BQ187" s="431">
        <f>I68</f>
        <v>0</v>
      </c>
      <c r="BR187" s="19"/>
      <c r="BS187" s="8">
        <f t="shared" ref="BS187:BS193" si="127">BN187*BQ187/1000</f>
        <v>0</v>
      </c>
      <c r="BT187" s="8">
        <f t="shared" ref="BT187:BT193" si="128">BS187*BM187</f>
        <v>0</v>
      </c>
      <c r="BU187" s="17"/>
    </row>
    <row r="188" spans="1:75" x14ac:dyDescent="0.25">
      <c r="AV188" s="9"/>
      <c r="AW188" s="17"/>
      <c r="AX188" s="428">
        <f t="shared" ref="AX188:AX193" si="129">D69</f>
        <v>0</v>
      </c>
      <c r="AY188" s="432">
        <f t="shared" ref="AY188:AY192" si="130">E69</f>
        <v>0</v>
      </c>
      <c r="AZ188" s="431">
        <f t="shared" ref="AZ188:AZ193" si="131">F69</f>
        <v>0</v>
      </c>
      <c r="BA188" s="8">
        <f t="shared" ref="BA188:BA189" si="132">AY188*AZ188</f>
        <v>0</v>
      </c>
      <c r="BB188" s="19"/>
      <c r="BC188" s="431">
        <f t="shared" ref="BC188:BC193" si="133">I69</f>
        <v>0</v>
      </c>
      <c r="BD188" s="19"/>
      <c r="BE188" s="8">
        <f t="shared" si="124"/>
        <v>0</v>
      </c>
      <c r="BF188" s="8">
        <f t="shared" si="125"/>
        <v>0</v>
      </c>
      <c r="BG188" s="17"/>
      <c r="BH188" s="473"/>
      <c r="BI188" s="474"/>
      <c r="BJ188" s="17"/>
      <c r="BK188" s="17"/>
      <c r="BL188" s="428">
        <f t="shared" ref="BL188:BL193" si="134">D69</f>
        <v>0</v>
      </c>
      <c r="BM188" s="432">
        <f t="shared" si="126"/>
        <v>0</v>
      </c>
      <c r="BN188" s="431">
        <f t="shared" ref="BN188:BN193" si="135">F69</f>
        <v>0</v>
      </c>
      <c r="BO188" s="8">
        <f t="shared" ref="BO188:BO189" si="136">BM188*BN188</f>
        <v>0</v>
      </c>
      <c r="BP188" s="19"/>
      <c r="BQ188" s="431">
        <f t="shared" ref="BQ188:BQ193" si="137">I69</f>
        <v>0</v>
      </c>
      <c r="BR188" s="19"/>
      <c r="BS188" s="8">
        <f t="shared" si="127"/>
        <v>0</v>
      </c>
      <c r="BT188" s="8">
        <f t="shared" si="128"/>
        <v>0</v>
      </c>
      <c r="BU188" s="17"/>
    </row>
    <row r="189" spans="1:75" x14ac:dyDescent="0.25">
      <c r="AV189" s="9"/>
      <c r="AW189" s="17"/>
      <c r="AX189" s="428">
        <f t="shared" si="129"/>
        <v>0</v>
      </c>
      <c r="AY189" s="432">
        <f t="shared" si="130"/>
        <v>0</v>
      </c>
      <c r="AZ189" s="431">
        <f t="shared" si="131"/>
        <v>0</v>
      </c>
      <c r="BA189" s="8">
        <f t="shared" si="132"/>
        <v>0</v>
      </c>
      <c r="BB189" s="19"/>
      <c r="BC189" s="431">
        <f t="shared" si="133"/>
        <v>0</v>
      </c>
      <c r="BD189" s="19"/>
      <c r="BE189" s="8">
        <f t="shared" si="124"/>
        <v>0</v>
      </c>
      <c r="BF189" s="8">
        <f t="shared" si="125"/>
        <v>0</v>
      </c>
      <c r="BG189" s="17"/>
      <c r="BH189" s="473"/>
      <c r="BI189" s="474"/>
      <c r="BJ189" s="17"/>
      <c r="BK189" s="17"/>
      <c r="BL189" s="428">
        <f t="shared" si="134"/>
        <v>0</v>
      </c>
      <c r="BM189" s="432">
        <f t="shared" si="126"/>
        <v>0</v>
      </c>
      <c r="BN189" s="431">
        <f t="shared" si="135"/>
        <v>0</v>
      </c>
      <c r="BO189" s="8">
        <f t="shared" si="136"/>
        <v>0</v>
      </c>
      <c r="BP189" s="19"/>
      <c r="BQ189" s="431">
        <f t="shared" si="137"/>
        <v>0</v>
      </c>
      <c r="BR189" s="19"/>
      <c r="BS189" s="8">
        <f t="shared" si="127"/>
        <v>0</v>
      </c>
      <c r="BT189" s="8">
        <f t="shared" si="128"/>
        <v>0</v>
      </c>
      <c r="BU189" s="17"/>
    </row>
    <row r="190" spans="1:75" x14ac:dyDescent="0.25">
      <c r="AV190" s="9"/>
      <c r="AW190" s="17"/>
      <c r="AX190" s="428">
        <f t="shared" si="129"/>
        <v>0</v>
      </c>
      <c r="AY190" s="432">
        <f t="shared" si="130"/>
        <v>0</v>
      </c>
      <c r="AZ190" s="431">
        <f t="shared" si="131"/>
        <v>0</v>
      </c>
      <c r="BA190" s="8">
        <f>AY190*AZ190</f>
        <v>0</v>
      </c>
      <c r="BB190" s="19"/>
      <c r="BC190" s="431">
        <f t="shared" si="133"/>
        <v>0</v>
      </c>
      <c r="BD190" s="19"/>
      <c r="BE190" s="8">
        <f t="shared" si="124"/>
        <v>0</v>
      </c>
      <c r="BF190" s="8">
        <f t="shared" si="125"/>
        <v>0</v>
      </c>
      <c r="BG190" s="17"/>
      <c r="BH190" s="473"/>
      <c r="BI190" s="474"/>
      <c r="BJ190" s="17"/>
      <c r="BK190" s="17"/>
      <c r="BL190" s="428">
        <f t="shared" si="134"/>
        <v>0</v>
      </c>
      <c r="BM190" s="432">
        <f t="shared" si="126"/>
        <v>0</v>
      </c>
      <c r="BN190" s="431">
        <f t="shared" si="135"/>
        <v>0</v>
      </c>
      <c r="BO190" s="8">
        <f>BM190*BN190</f>
        <v>0</v>
      </c>
      <c r="BP190" s="19"/>
      <c r="BQ190" s="431">
        <f t="shared" si="137"/>
        <v>0</v>
      </c>
      <c r="BR190" s="19"/>
      <c r="BS190" s="8">
        <f t="shared" si="127"/>
        <v>0</v>
      </c>
      <c r="BT190" s="8">
        <f t="shared" si="128"/>
        <v>0</v>
      </c>
      <c r="BU190" s="17"/>
    </row>
    <row r="191" spans="1:75" x14ac:dyDescent="0.25">
      <c r="AV191" s="9"/>
      <c r="AW191" s="17"/>
      <c r="AX191" s="428">
        <f t="shared" si="129"/>
        <v>0</v>
      </c>
      <c r="AY191" s="432">
        <f t="shared" si="130"/>
        <v>0</v>
      </c>
      <c r="AZ191" s="431">
        <f t="shared" si="131"/>
        <v>0</v>
      </c>
      <c r="BA191" s="8">
        <f>AY191*AZ191</f>
        <v>0</v>
      </c>
      <c r="BB191" s="19"/>
      <c r="BC191" s="431">
        <f t="shared" si="133"/>
        <v>0</v>
      </c>
      <c r="BD191" s="19"/>
      <c r="BE191" s="8">
        <f t="shared" si="124"/>
        <v>0</v>
      </c>
      <c r="BF191" s="8">
        <f t="shared" si="125"/>
        <v>0</v>
      </c>
      <c r="BG191" s="17"/>
      <c r="BH191" s="473"/>
      <c r="BI191" s="474"/>
      <c r="BJ191" s="17"/>
      <c r="BK191" s="17"/>
      <c r="BL191" s="428">
        <f t="shared" si="134"/>
        <v>0</v>
      </c>
      <c r="BM191" s="432">
        <f t="shared" si="126"/>
        <v>0</v>
      </c>
      <c r="BN191" s="431">
        <f t="shared" si="135"/>
        <v>0</v>
      </c>
      <c r="BO191" s="8">
        <f>BM191*BN191</f>
        <v>0</v>
      </c>
      <c r="BP191" s="19"/>
      <c r="BQ191" s="431">
        <f t="shared" si="137"/>
        <v>0</v>
      </c>
      <c r="BR191" s="19"/>
      <c r="BS191" s="8">
        <f t="shared" si="127"/>
        <v>0</v>
      </c>
      <c r="BT191" s="8">
        <f t="shared" si="128"/>
        <v>0</v>
      </c>
      <c r="BU191" s="17"/>
    </row>
    <row r="192" spans="1:75" x14ac:dyDescent="0.25">
      <c r="AV192" s="9"/>
      <c r="AW192" s="17"/>
      <c r="AX192" s="428">
        <f t="shared" si="129"/>
        <v>0</v>
      </c>
      <c r="AY192" s="432">
        <f t="shared" si="130"/>
        <v>0</v>
      </c>
      <c r="AZ192" s="431">
        <f t="shared" si="131"/>
        <v>0</v>
      </c>
      <c r="BA192" s="8">
        <f t="shared" ref="BA192:BA193" si="138">AY192*AZ192</f>
        <v>0</v>
      </c>
      <c r="BB192" s="19"/>
      <c r="BC192" s="431">
        <f t="shared" si="133"/>
        <v>0</v>
      </c>
      <c r="BD192" s="19"/>
      <c r="BE192" s="8">
        <f t="shared" si="124"/>
        <v>0</v>
      </c>
      <c r="BF192" s="8">
        <f t="shared" si="125"/>
        <v>0</v>
      </c>
      <c r="BG192" s="17"/>
      <c r="BH192" s="473"/>
      <c r="BI192" s="474"/>
      <c r="BJ192" s="17"/>
      <c r="BK192" s="17"/>
      <c r="BL192" s="428">
        <f t="shared" si="134"/>
        <v>0</v>
      </c>
      <c r="BM192" s="432">
        <f t="shared" si="126"/>
        <v>0</v>
      </c>
      <c r="BN192" s="431">
        <f t="shared" si="135"/>
        <v>0</v>
      </c>
      <c r="BO192" s="8">
        <f t="shared" ref="BO192:BO193" si="139">BM192*BN192</f>
        <v>0</v>
      </c>
      <c r="BP192" s="19"/>
      <c r="BQ192" s="431">
        <f t="shared" si="137"/>
        <v>0</v>
      </c>
      <c r="BR192" s="19"/>
      <c r="BS192" s="8">
        <f t="shared" si="127"/>
        <v>0</v>
      </c>
      <c r="BT192" s="8">
        <f t="shared" si="128"/>
        <v>0</v>
      </c>
      <c r="BU192" s="17"/>
    </row>
    <row r="193" spans="48:73" x14ac:dyDescent="0.25">
      <c r="AV193" s="9"/>
      <c r="AW193" s="17"/>
      <c r="AX193" s="428">
        <f t="shared" si="129"/>
        <v>0</v>
      </c>
      <c r="AY193" s="432">
        <f t="shared" ref="AY193" si="140">E74</f>
        <v>0</v>
      </c>
      <c r="AZ193" s="431">
        <f t="shared" si="131"/>
        <v>0</v>
      </c>
      <c r="BA193" s="8">
        <f t="shared" si="138"/>
        <v>0</v>
      </c>
      <c r="BB193" s="19"/>
      <c r="BC193" s="431">
        <f t="shared" si="133"/>
        <v>0</v>
      </c>
      <c r="BD193" s="19"/>
      <c r="BE193" s="8">
        <f t="shared" si="124"/>
        <v>0</v>
      </c>
      <c r="BF193" s="8">
        <f t="shared" si="125"/>
        <v>0</v>
      </c>
      <c r="BG193" s="17"/>
      <c r="BH193" s="473"/>
      <c r="BI193" s="474"/>
      <c r="BJ193" s="17"/>
      <c r="BK193" s="17"/>
      <c r="BL193" s="428">
        <f t="shared" si="134"/>
        <v>0</v>
      </c>
      <c r="BM193" s="432">
        <f t="shared" ref="BM193" si="141">E74</f>
        <v>0</v>
      </c>
      <c r="BN193" s="431">
        <f t="shared" si="135"/>
        <v>0</v>
      </c>
      <c r="BO193" s="8">
        <f t="shared" si="139"/>
        <v>0</v>
      </c>
      <c r="BP193" s="19"/>
      <c r="BQ193" s="431">
        <f t="shared" si="137"/>
        <v>0</v>
      </c>
      <c r="BR193" s="19"/>
      <c r="BS193" s="8">
        <f t="shared" si="127"/>
        <v>0</v>
      </c>
      <c r="BT193" s="8">
        <f t="shared" si="128"/>
        <v>0</v>
      </c>
      <c r="BU193" s="17"/>
    </row>
    <row r="194" spans="48:73" x14ac:dyDescent="0.25">
      <c r="AV194" s="9"/>
      <c r="AW194" s="17"/>
      <c r="AX194" s="17"/>
      <c r="AY194" s="18"/>
      <c r="AZ194" s="19"/>
      <c r="BA194" s="18"/>
      <c r="BB194" s="17"/>
      <c r="BC194" s="18"/>
      <c r="BD194" s="17"/>
      <c r="BE194" s="17"/>
      <c r="BF194" s="17"/>
      <c r="BG194" s="17"/>
      <c r="BH194" s="473"/>
      <c r="BI194" s="474"/>
      <c r="BJ194" s="17"/>
      <c r="BK194" s="17"/>
      <c r="BL194" s="17"/>
      <c r="BM194" s="18"/>
      <c r="BN194" s="19"/>
      <c r="BO194" s="18"/>
      <c r="BP194" s="17"/>
      <c r="BQ194" s="18"/>
      <c r="BR194" s="17"/>
      <c r="BS194" s="17"/>
      <c r="BT194" s="17"/>
      <c r="BU194" s="17"/>
    </row>
    <row r="195" spans="48:73" x14ac:dyDescent="0.25">
      <c r="AV195" s="9"/>
      <c r="AW195" s="1"/>
      <c r="AX195" s="17"/>
      <c r="AY195" s="1"/>
      <c r="AZ195" s="19"/>
      <c r="BA195" s="17"/>
      <c r="BB195" s="17"/>
      <c r="BC195" s="236"/>
      <c r="BD195" s="236"/>
      <c r="BE195" s="236"/>
      <c r="BF195" s="236"/>
      <c r="BG195" s="17"/>
      <c r="BH195" s="473"/>
      <c r="BI195" s="474"/>
      <c r="BJ195" s="17"/>
      <c r="BK195" s="1"/>
      <c r="BL195" s="17"/>
      <c r="BM195" s="1"/>
      <c r="BN195" s="19"/>
      <c r="BO195" s="17"/>
      <c r="BP195" s="17"/>
      <c r="BQ195" s="236"/>
      <c r="BR195" s="236"/>
      <c r="BS195" s="236"/>
      <c r="BT195" s="236"/>
      <c r="BU195" s="17"/>
    </row>
    <row r="196" spans="48:73" x14ac:dyDescent="0.25">
      <c r="AV196" s="9"/>
      <c r="AW196" s="18"/>
      <c r="AX196" s="18"/>
      <c r="AY196" s="235"/>
      <c r="AZ196" s="234"/>
      <c r="BA196" s="18"/>
      <c r="BB196" s="18"/>
      <c r="BC196" s="236"/>
      <c r="BD196" s="18"/>
      <c r="BE196" s="236"/>
      <c r="BF196" s="236"/>
      <c r="BG196" s="17"/>
      <c r="BH196" s="473"/>
      <c r="BI196" s="474"/>
      <c r="BJ196" s="17"/>
      <c r="BK196" s="18"/>
      <c r="BL196" s="18"/>
      <c r="BM196" s="235"/>
      <c r="BN196" s="234"/>
      <c r="BO196" s="18"/>
      <c r="BP196" s="18"/>
      <c r="BQ196" s="236"/>
      <c r="BR196" s="18"/>
      <c r="BS196" s="236"/>
      <c r="BT196" s="236"/>
      <c r="BU196" s="17"/>
    </row>
    <row r="197" spans="48:73" x14ac:dyDescent="0.25">
      <c r="AV197" s="9"/>
      <c r="AW197" s="18" t="s">
        <v>23</v>
      </c>
      <c r="AX197" s="18"/>
      <c r="AY197" s="235"/>
      <c r="AZ197" s="234"/>
      <c r="BA197" s="18"/>
      <c r="BB197" s="18"/>
      <c r="BC197" s="236"/>
      <c r="BD197" s="18"/>
      <c r="BE197" s="236"/>
      <c r="BF197" s="236"/>
      <c r="BG197" s="17"/>
      <c r="BH197" s="473"/>
      <c r="BI197" s="474"/>
      <c r="BJ197" s="17"/>
      <c r="BK197" s="18" t="s">
        <v>23</v>
      </c>
      <c r="BL197" s="18"/>
      <c r="BM197" s="235"/>
      <c r="BN197" s="234"/>
      <c r="BO197" s="18"/>
      <c r="BP197" s="18"/>
      <c r="BQ197" s="236"/>
      <c r="BR197" s="18"/>
      <c r="BS197" s="236"/>
      <c r="BT197" s="236"/>
      <c r="BU197" s="17"/>
    </row>
    <row r="198" spans="48:73" x14ac:dyDescent="0.25">
      <c r="AV198" s="9"/>
      <c r="AW198" s="17"/>
      <c r="AX198" s="17"/>
      <c r="AY198" s="19" t="s">
        <v>3</v>
      </c>
      <c r="AZ198" s="237" t="s">
        <v>7</v>
      </c>
      <c r="BA198" s="19" t="s">
        <v>2</v>
      </c>
      <c r="BB198" s="19"/>
      <c r="BC198" s="19" t="s">
        <v>13</v>
      </c>
      <c r="BD198" s="19"/>
      <c r="BE198" s="19" t="s">
        <v>14</v>
      </c>
      <c r="BF198" s="19" t="s">
        <v>2</v>
      </c>
      <c r="BG198" s="17"/>
      <c r="BH198" s="473"/>
      <c r="BI198" s="474"/>
      <c r="BJ198" s="17"/>
      <c r="BK198" s="17"/>
      <c r="BL198" s="17"/>
      <c r="BM198" s="19" t="s">
        <v>3</v>
      </c>
      <c r="BN198" s="237" t="s">
        <v>7</v>
      </c>
      <c r="BO198" s="19" t="s">
        <v>2</v>
      </c>
      <c r="BP198" s="19"/>
      <c r="BQ198" s="19" t="s">
        <v>13</v>
      </c>
      <c r="BR198" s="19"/>
      <c r="BS198" s="19" t="s">
        <v>14</v>
      </c>
      <c r="BT198" s="19" t="s">
        <v>2</v>
      </c>
      <c r="BU198" s="17"/>
    </row>
    <row r="199" spans="48:73" x14ac:dyDescent="0.25">
      <c r="AV199" s="9"/>
      <c r="AW199" s="17"/>
      <c r="AX199" s="14">
        <f>AX187</f>
        <v>0</v>
      </c>
      <c r="AY199" s="15">
        <f>AY187</f>
        <v>0</v>
      </c>
      <c r="AZ199" s="16">
        <f>BE187</f>
        <v>0</v>
      </c>
      <c r="BA199" s="8">
        <f>AY199*AZ199</f>
        <v>0</v>
      </c>
      <c r="BB199" s="19"/>
      <c r="BC199" s="432">
        <f>I80</f>
        <v>0</v>
      </c>
      <c r="BD199" s="19"/>
      <c r="BE199" s="8">
        <f>BE187*BC199</f>
        <v>0</v>
      </c>
      <c r="BF199" s="8">
        <f>BE199*AY199</f>
        <v>0</v>
      </c>
      <c r="BG199" s="17"/>
      <c r="BH199" s="473"/>
      <c r="BI199" s="474"/>
      <c r="BJ199" s="17"/>
      <c r="BK199" s="17"/>
      <c r="BL199" s="14">
        <f>BL187</f>
        <v>0</v>
      </c>
      <c r="BM199" s="15">
        <f>BM187</f>
        <v>0</v>
      </c>
      <c r="BN199" s="16">
        <f>BS187</f>
        <v>0</v>
      </c>
      <c r="BO199" s="8">
        <f>BM199*BN199</f>
        <v>0</v>
      </c>
      <c r="BP199" s="19"/>
      <c r="BQ199" s="432">
        <f>I80</f>
        <v>0</v>
      </c>
      <c r="BR199" s="19"/>
      <c r="BS199" s="8">
        <f>BS187*BQ199</f>
        <v>0</v>
      </c>
      <c r="BT199" s="8">
        <f>BS199*BM199</f>
        <v>0</v>
      </c>
      <c r="BU199" s="17"/>
    </row>
    <row r="200" spans="48:73" x14ac:dyDescent="0.25">
      <c r="AV200" s="9"/>
      <c r="AW200" s="17"/>
      <c r="AX200" s="14">
        <f t="shared" ref="AX200:AY200" si="142">AX188</f>
        <v>0</v>
      </c>
      <c r="AY200" s="15">
        <f t="shared" si="142"/>
        <v>0</v>
      </c>
      <c r="AZ200" s="16">
        <f t="shared" ref="AZ200:AZ205" si="143">BE188</f>
        <v>0</v>
      </c>
      <c r="BA200" s="8">
        <f t="shared" ref="BA200:BA205" si="144">AY200*AZ200</f>
        <v>0</v>
      </c>
      <c r="BB200" s="19"/>
      <c r="BC200" s="432">
        <f t="shared" ref="BC200:BC205" si="145">I81</f>
        <v>0</v>
      </c>
      <c r="BD200" s="19"/>
      <c r="BE200" s="8">
        <f>BE188*BC200</f>
        <v>0</v>
      </c>
      <c r="BF200" s="8">
        <f>BE200*AY200</f>
        <v>0</v>
      </c>
      <c r="BG200" s="17"/>
      <c r="BH200" s="473"/>
      <c r="BI200" s="474"/>
      <c r="BJ200" s="17"/>
      <c r="BK200" s="17"/>
      <c r="BL200" s="14">
        <f t="shared" ref="BL200:BM200" si="146">BL188</f>
        <v>0</v>
      </c>
      <c r="BM200" s="15">
        <f t="shared" si="146"/>
        <v>0</v>
      </c>
      <c r="BN200" s="16">
        <f t="shared" ref="BN200:BN205" si="147">BS188</f>
        <v>0</v>
      </c>
      <c r="BO200" s="8">
        <f t="shared" ref="BO200:BO205" si="148">BM200*BN200</f>
        <v>0</v>
      </c>
      <c r="BP200" s="19"/>
      <c r="BQ200" s="432">
        <f t="shared" ref="BQ200:BQ205" si="149">I81</f>
        <v>0</v>
      </c>
      <c r="BR200" s="19"/>
      <c r="BS200" s="8">
        <f>BS188*BQ200</f>
        <v>0</v>
      </c>
      <c r="BT200" s="8">
        <f>BS200*BM200</f>
        <v>0</v>
      </c>
      <c r="BU200" s="17"/>
    </row>
    <row r="201" spans="48:73" x14ac:dyDescent="0.25">
      <c r="AV201" s="9"/>
      <c r="AW201" s="17"/>
      <c r="AX201" s="14">
        <f t="shared" ref="AX201:AY201" si="150">AX189</f>
        <v>0</v>
      </c>
      <c r="AY201" s="15">
        <f t="shared" si="150"/>
        <v>0</v>
      </c>
      <c r="AZ201" s="16">
        <f t="shared" si="143"/>
        <v>0</v>
      </c>
      <c r="BA201" s="8">
        <f t="shared" si="144"/>
        <v>0</v>
      </c>
      <c r="BB201" s="19"/>
      <c r="BC201" s="432">
        <f t="shared" si="145"/>
        <v>0</v>
      </c>
      <c r="BD201" s="19"/>
      <c r="BE201" s="8">
        <f>BE189*BC201</f>
        <v>0</v>
      </c>
      <c r="BF201" s="8">
        <f>BE201*AY201</f>
        <v>0</v>
      </c>
      <c r="BG201" s="17"/>
      <c r="BH201" s="473"/>
      <c r="BI201" s="474"/>
      <c r="BJ201" s="17"/>
      <c r="BK201" s="17"/>
      <c r="BL201" s="14">
        <f t="shared" ref="BL201:BM201" si="151">BL189</f>
        <v>0</v>
      </c>
      <c r="BM201" s="15">
        <f t="shared" si="151"/>
        <v>0</v>
      </c>
      <c r="BN201" s="16">
        <f t="shared" si="147"/>
        <v>0</v>
      </c>
      <c r="BO201" s="8">
        <f t="shared" si="148"/>
        <v>0</v>
      </c>
      <c r="BP201" s="19"/>
      <c r="BQ201" s="432">
        <f t="shared" si="149"/>
        <v>0</v>
      </c>
      <c r="BR201" s="19"/>
      <c r="BS201" s="8">
        <f>BS189*BQ201</f>
        <v>0</v>
      </c>
      <c r="BT201" s="8">
        <f>BS201*BM201</f>
        <v>0</v>
      </c>
      <c r="BU201" s="17"/>
    </row>
    <row r="202" spans="48:73" x14ac:dyDescent="0.25">
      <c r="AV202" s="9"/>
      <c r="AW202" s="17"/>
      <c r="AX202" s="14">
        <f t="shared" ref="AX202:AY202" si="152">AX190</f>
        <v>0</v>
      </c>
      <c r="AY202" s="15">
        <f t="shared" si="152"/>
        <v>0</v>
      </c>
      <c r="AZ202" s="16">
        <f t="shared" si="143"/>
        <v>0</v>
      </c>
      <c r="BA202" s="8">
        <f t="shared" si="144"/>
        <v>0</v>
      </c>
      <c r="BB202" s="19"/>
      <c r="BC202" s="432">
        <f t="shared" si="145"/>
        <v>0</v>
      </c>
      <c r="BD202" s="19"/>
      <c r="BE202" s="8">
        <f>BE190*BC202</f>
        <v>0</v>
      </c>
      <c r="BF202" s="8">
        <f>BE202*AY202</f>
        <v>0</v>
      </c>
      <c r="BG202" s="17"/>
      <c r="BH202" s="473"/>
      <c r="BI202" s="474"/>
      <c r="BJ202" s="17"/>
      <c r="BK202" s="17"/>
      <c r="BL202" s="14">
        <f t="shared" ref="BL202:BM202" si="153">BL190</f>
        <v>0</v>
      </c>
      <c r="BM202" s="15">
        <f t="shared" si="153"/>
        <v>0</v>
      </c>
      <c r="BN202" s="16">
        <f t="shared" si="147"/>
        <v>0</v>
      </c>
      <c r="BO202" s="8">
        <f t="shared" si="148"/>
        <v>0</v>
      </c>
      <c r="BP202" s="19"/>
      <c r="BQ202" s="432">
        <f t="shared" si="149"/>
        <v>0</v>
      </c>
      <c r="BR202" s="19"/>
      <c r="BS202" s="8">
        <f>BS190*BQ202</f>
        <v>0</v>
      </c>
      <c r="BT202" s="8">
        <f>BS202*BM202</f>
        <v>0</v>
      </c>
      <c r="BU202" s="17"/>
    </row>
    <row r="203" spans="48:73" x14ac:dyDescent="0.25">
      <c r="AV203" s="9"/>
      <c r="AW203" s="17"/>
      <c r="AX203" s="14">
        <f t="shared" ref="AX203:AY203" si="154">AX191</f>
        <v>0</v>
      </c>
      <c r="AY203" s="15">
        <f t="shared" si="154"/>
        <v>0</v>
      </c>
      <c r="AZ203" s="16">
        <f t="shared" si="143"/>
        <v>0</v>
      </c>
      <c r="BA203" s="8">
        <f t="shared" si="144"/>
        <v>0</v>
      </c>
      <c r="BB203" s="19"/>
      <c r="BC203" s="432">
        <f t="shared" si="145"/>
        <v>0</v>
      </c>
      <c r="BD203" s="19"/>
      <c r="BE203" s="8">
        <f>BE191*BC203</f>
        <v>0</v>
      </c>
      <c r="BF203" s="8">
        <f>BE203*AY203</f>
        <v>0</v>
      </c>
      <c r="BG203" s="17"/>
      <c r="BH203" s="473"/>
      <c r="BI203" s="474"/>
      <c r="BJ203" s="17"/>
      <c r="BK203" s="17"/>
      <c r="BL203" s="14">
        <f t="shared" ref="BL203:BM203" si="155">BL191</f>
        <v>0</v>
      </c>
      <c r="BM203" s="15">
        <f t="shared" si="155"/>
        <v>0</v>
      </c>
      <c r="BN203" s="16">
        <f t="shared" si="147"/>
        <v>0</v>
      </c>
      <c r="BO203" s="8">
        <f t="shared" si="148"/>
        <v>0</v>
      </c>
      <c r="BP203" s="19"/>
      <c r="BQ203" s="432">
        <f t="shared" si="149"/>
        <v>0</v>
      </c>
      <c r="BR203" s="19"/>
      <c r="BS203" s="8">
        <f>BS191*BQ203</f>
        <v>0</v>
      </c>
      <c r="BT203" s="8">
        <f>BS203*BM203</f>
        <v>0</v>
      </c>
      <c r="BU203" s="17"/>
    </row>
    <row r="204" spans="48:73" x14ac:dyDescent="0.25">
      <c r="AV204" s="9"/>
      <c r="AW204" s="17"/>
      <c r="AX204" s="14">
        <f t="shared" ref="AX204:AY204" si="156">AX192</f>
        <v>0</v>
      </c>
      <c r="AY204" s="15">
        <f t="shared" si="156"/>
        <v>0</v>
      </c>
      <c r="AZ204" s="16">
        <f t="shared" si="143"/>
        <v>0</v>
      </c>
      <c r="BA204" s="8">
        <f t="shared" si="144"/>
        <v>0</v>
      </c>
      <c r="BB204" s="19"/>
      <c r="BC204" s="432">
        <f t="shared" si="145"/>
        <v>0</v>
      </c>
      <c r="BD204" s="19"/>
      <c r="BE204" s="8">
        <f t="shared" ref="BE204:BE205" si="157">BE192*BC204</f>
        <v>0</v>
      </c>
      <c r="BF204" s="8">
        <f t="shared" ref="BF204:BF205" si="158">BE204*AY204</f>
        <v>0</v>
      </c>
      <c r="BG204" s="17"/>
      <c r="BH204" s="473"/>
      <c r="BI204" s="474"/>
      <c r="BJ204" s="17"/>
      <c r="BK204" s="17"/>
      <c r="BL204" s="14">
        <f t="shared" ref="BL204:BM204" si="159">BL192</f>
        <v>0</v>
      </c>
      <c r="BM204" s="15">
        <f t="shared" si="159"/>
        <v>0</v>
      </c>
      <c r="BN204" s="16">
        <f t="shared" si="147"/>
        <v>0</v>
      </c>
      <c r="BO204" s="8">
        <f t="shared" si="148"/>
        <v>0</v>
      </c>
      <c r="BP204" s="19"/>
      <c r="BQ204" s="432">
        <f t="shared" si="149"/>
        <v>0</v>
      </c>
      <c r="BR204" s="19"/>
      <c r="BS204" s="8">
        <f t="shared" ref="BS204:BS205" si="160">BS192*BQ204</f>
        <v>0</v>
      </c>
      <c r="BT204" s="8">
        <f t="shared" ref="BT204:BT205" si="161">BS204*BM204</f>
        <v>0</v>
      </c>
      <c r="BU204" s="17"/>
    </row>
    <row r="205" spans="48:73" x14ac:dyDescent="0.25">
      <c r="AV205" s="9"/>
      <c r="AW205" s="17"/>
      <c r="AX205" s="14">
        <f t="shared" ref="AX205:AY205" si="162">AX193</f>
        <v>0</v>
      </c>
      <c r="AY205" s="15">
        <f t="shared" si="162"/>
        <v>0</v>
      </c>
      <c r="AZ205" s="16">
        <f t="shared" si="143"/>
        <v>0</v>
      </c>
      <c r="BA205" s="8">
        <f t="shared" si="144"/>
        <v>0</v>
      </c>
      <c r="BB205" s="19"/>
      <c r="BC205" s="432">
        <f t="shared" si="145"/>
        <v>0</v>
      </c>
      <c r="BD205" s="19"/>
      <c r="BE205" s="8">
        <f t="shared" si="157"/>
        <v>0</v>
      </c>
      <c r="BF205" s="8">
        <f t="shared" si="158"/>
        <v>0</v>
      </c>
      <c r="BG205" s="17"/>
      <c r="BH205" s="473"/>
      <c r="BI205" s="474"/>
      <c r="BJ205" s="17"/>
      <c r="BK205" s="17"/>
      <c r="BL205" s="14">
        <f t="shared" ref="BL205:BM205" si="163">BL193</f>
        <v>0</v>
      </c>
      <c r="BM205" s="15">
        <f t="shared" si="163"/>
        <v>0</v>
      </c>
      <c r="BN205" s="16">
        <f t="shared" si="147"/>
        <v>0</v>
      </c>
      <c r="BO205" s="8">
        <f t="shared" si="148"/>
        <v>0</v>
      </c>
      <c r="BP205" s="19"/>
      <c r="BQ205" s="432">
        <f t="shared" si="149"/>
        <v>0</v>
      </c>
      <c r="BR205" s="19"/>
      <c r="BS205" s="8">
        <f t="shared" si="160"/>
        <v>0</v>
      </c>
      <c r="BT205" s="8">
        <f t="shared" si="161"/>
        <v>0</v>
      </c>
      <c r="BU205" s="17"/>
    </row>
    <row r="206" spans="48:73" ht="15.75" thickBot="1" x14ac:dyDescent="0.3">
      <c r="AV206" s="9"/>
      <c r="AW206" s="17"/>
      <c r="AX206" s="17"/>
      <c r="AY206" s="18"/>
      <c r="AZ206" s="19"/>
      <c r="BA206" s="18"/>
      <c r="BB206" s="17"/>
      <c r="BC206" s="18"/>
      <c r="BD206" s="17"/>
      <c r="BE206" s="17"/>
      <c r="BF206" s="18"/>
      <c r="BG206" s="17"/>
      <c r="BH206" s="473"/>
      <c r="BI206" s="474"/>
      <c r="BJ206" s="17"/>
      <c r="BK206" s="17"/>
      <c r="BL206" s="17"/>
      <c r="BM206" s="18"/>
      <c r="BN206" s="19"/>
      <c r="BO206" s="18"/>
      <c r="BP206" s="17"/>
      <c r="BQ206" s="18"/>
      <c r="BR206" s="17"/>
      <c r="BS206" s="17"/>
      <c r="BT206" s="18"/>
      <c r="BU206" s="17"/>
    </row>
    <row r="207" spans="48:73" ht="15.75" thickBot="1" x14ac:dyDescent="0.3">
      <c r="AV207" s="9"/>
      <c r="AW207" s="1"/>
      <c r="AX207" s="17"/>
      <c r="AY207" s="1"/>
      <c r="AZ207" s="19"/>
      <c r="BA207" s="17"/>
      <c r="BB207" s="17"/>
      <c r="BC207" s="236"/>
      <c r="BD207" s="17"/>
      <c r="BE207" s="20" t="s">
        <v>15</v>
      </c>
      <c r="BF207" s="21">
        <f>SUM(BF199:BF205)</f>
        <v>0</v>
      </c>
      <c r="BG207" s="17"/>
      <c r="BH207" s="473"/>
      <c r="BI207" s="474"/>
      <c r="BJ207" s="17"/>
      <c r="BK207" s="1"/>
      <c r="BL207" s="17"/>
      <c r="BM207" s="1"/>
      <c r="BN207" s="19"/>
      <c r="BO207" s="17"/>
      <c r="BP207" s="17"/>
      <c r="BQ207" s="236"/>
      <c r="BR207" s="17"/>
      <c r="BS207" s="20" t="s">
        <v>15</v>
      </c>
      <c r="BT207" s="21">
        <f>SUM(BT199:BT205)</f>
        <v>0</v>
      </c>
      <c r="BU207" s="17"/>
    </row>
    <row r="208" spans="48:73" x14ac:dyDescent="0.25">
      <c r="AV208" s="9"/>
      <c r="AW208" s="18"/>
      <c r="AX208" s="18"/>
      <c r="AY208" s="235"/>
      <c r="AZ208" s="234"/>
      <c r="BA208" s="18"/>
      <c r="BB208" s="18"/>
      <c r="BC208" s="236"/>
      <c r="BD208" s="18"/>
      <c r="BE208" s="236"/>
      <c r="BF208" s="236"/>
      <c r="BG208" s="17"/>
      <c r="BH208" s="473"/>
      <c r="BI208" s="474"/>
      <c r="BJ208" s="17"/>
      <c r="BK208" s="18"/>
      <c r="BL208" s="18"/>
      <c r="BM208" s="235"/>
      <c r="BN208" s="234"/>
      <c r="BO208" s="18"/>
      <c r="BP208" s="18"/>
      <c r="BQ208" s="236"/>
      <c r="BR208" s="18"/>
      <c r="BS208" s="236"/>
      <c r="BT208" s="236"/>
      <c r="BU208" s="17"/>
    </row>
    <row r="209" spans="1:75" x14ac:dyDescent="0.25">
      <c r="AV209" s="9"/>
      <c r="AW209" s="241" t="s">
        <v>21</v>
      </c>
      <c r="AX209" s="18"/>
      <c r="AY209" s="234" t="s">
        <v>5</v>
      </c>
      <c r="AZ209" s="237" t="s">
        <v>97</v>
      </c>
      <c r="BA209" s="238" t="s">
        <v>8</v>
      </c>
      <c r="BB209" s="18"/>
      <c r="BC209" s="19" t="s">
        <v>13</v>
      </c>
      <c r="BD209" s="18"/>
      <c r="BE209" s="18"/>
      <c r="BF209" s="235" t="s">
        <v>16</v>
      </c>
      <c r="BG209" s="17"/>
      <c r="BH209" s="473"/>
      <c r="BI209" s="474"/>
      <c r="BJ209" s="17"/>
      <c r="BK209" s="241" t="s">
        <v>21</v>
      </c>
      <c r="BL209" s="18"/>
      <c r="BM209" s="234" t="s">
        <v>5</v>
      </c>
      <c r="BN209" s="237" t="s">
        <v>97</v>
      </c>
      <c r="BO209" s="238" t="s">
        <v>8</v>
      </c>
      <c r="BP209" s="18"/>
      <c r="BQ209" s="19" t="s">
        <v>13</v>
      </c>
      <c r="BR209" s="18"/>
      <c r="BS209" s="18"/>
      <c r="BT209" s="235" t="s">
        <v>16</v>
      </c>
      <c r="BU209" s="17"/>
    </row>
    <row r="210" spans="1:75" x14ac:dyDescent="0.25">
      <c r="AV210" s="9"/>
      <c r="AW210" s="18"/>
      <c r="AX210" s="433">
        <f>D91</f>
        <v>0</v>
      </c>
      <c r="AY210" s="434">
        <f>E91</f>
        <v>0</v>
      </c>
      <c r="AZ210" s="435">
        <f>F91</f>
        <v>0</v>
      </c>
      <c r="BA210" s="8">
        <f>AY210*AZ210/1000</f>
        <v>0</v>
      </c>
      <c r="BB210" s="18"/>
      <c r="BC210" s="432">
        <f>I91</f>
        <v>0</v>
      </c>
      <c r="BD210" s="18"/>
      <c r="BE210" s="18"/>
      <c r="BF210" s="8">
        <f>BA210*BC210</f>
        <v>0</v>
      </c>
      <c r="BG210" s="17"/>
      <c r="BH210" s="473"/>
      <c r="BI210" s="474"/>
      <c r="BJ210" s="17"/>
      <c r="BK210" s="18"/>
      <c r="BL210" s="433">
        <f>D91</f>
        <v>0</v>
      </c>
      <c r="BM210" s="434">
        <f>E91</f>
        <v>0</v>
      </c>
      <c r="BN210" s="435">
        <f>F91</f>
        <v>0</v>
      </c>
      <c r="BO210" s="8">
        <f>BM210*BN210/1000</f>
        <v>0</v>
      </c>
      <c r="BP210" s="18"/>
      <c r="BQ210" s="432">
        <f>I91</f>
        <v>0</v>
      </c>
      <c r="BR210" s="18"/>
      <c r="BS210" s="18"/>
      <c r="BT210" s="8">
        <f>BO210*BQ210</f>
        <v>0</v>
      </c>
      <c r="BU210" s="17"/>
    </row>
    <row r="211" spans="1:75" x14ac:dyDescent="0.25">
      <c r="AV211" s="9"/>
      <c r="AW211" s="18"/>
      <c r="AX211" s="433">
        <f t="shared" ref="AX211:AX215" si="164">D92</f>
        <v>0</v>
      </c>
      <c r="AY211" s="434">
        <f t="shared" ref="AY211:AY215" si="165">E92</f>
        <v>0</v>
      </c>
      <c r="AZ211" s="435">
        <f t="shared" ref="AZ211:AZ215" si="166">F92</f>
        <v>0</v>
      </c>
      <c r="BA211" s="8">
        <f>AY211*AZ211/1000</f>
        <v>0</v>
      </c>
      <c r="BB211" s="18"/>
      <c r="BC211" s="432">
        <f t="shared" ref="BC211:BC215" si="167">I92</f>
        <v>0</v>
      </c>
      <c r="BD211" s="18"/>
      <c r="BE211" s="18"/>
      <c r="BF211" s="8">
        <f>BA211*BC211</f>
        <v>0</v>
      </c>
      <c r="BG211" s="17"/>
      <c r="BH211" s="473"/>
      <c r="BI211" s="474"/>
      <c r="BJ211" s="17"/>
      <c r="BK211" s="18"/>
      <c r="BL211" s="433">
        <f t="shared" ref="BL211:BL215" si="168">D92</f>
        <v>0</v>
      </c>
      <c r="BM211" s="434">
        <f t="shared" ref="BM211:BM215" si="169">E92</f>
        <v>0</v>
      </c>
      <c r="BN211" s="435">
        <f t="shared" ref="BN211:BN215" si="170">F92</f>
        <v>0</v>
      </c>
      <c r="BO211" s="8">
        <f>BM211*BN211/1000</f>
        <v>0</v>
      </c>
      <c r="BP211" s="18"/>
      <c r="BQ211" s="432">
        <f t="shared" ref="BQ211:BQ215" si="171">I92</f>
        <v>0</v>
      </c>
      <c r="BR211" s="18"/>
      <c r="BS211" s="18"/>
      <c r="BT211" s="8">
        <f>BO211*BQ211</f>
        <v>0</v>
      </c>
      <c r="BU211" s="17"/>
    </row>
    <row r="212" spans="1:75" x14ac:dyDescent="0.25">
      <c r="AV212" s="9"/>
      <c r="AW212" s="18"/>
      <c r="AX212" s="433">
        <f t="shared" si="164"/>
        <v>0</v>
      </c>
      <c r="AY212" s="434">
        <f t="shared" si="165"/>
        <v>0</v>
      </c>
      <c r="AZ212" s="435">
        <f t="shared" si="166"/>
        <v>0</v>
      </c>
      <c r="BA212" s="8">
        <f>AY212*AZ212/1000</f>
        <v>0</v>
      </c>
      <c r="BB212" s="18"/>
      <c r="BC212" s="432">
        <f t="shared" si="167"/>
        <v>0</v>
      </c>
      <c r="BD212" s="18"/>
      <c r="BE212" s="18"/>
      <c r="BF212" s="8">
        <f>BA212*BC212</f>
        <v>0</v>
      </c>
      <c r="BG212" s="17"/>
      <c r="BH212" s="473"/>
      <c r="BI212" s="474"/>
      <c r="BJ212" s="17"/>
      <c r="BK212" s="18"/>
      <c r="BL212" s="433">
        <f t="shared" si="168"/>
        <v>0</v>
      </c>
      <c r="BM212" s="434">
        <f t="shared" si="169"/>
        <v>0</v>
      </c>
      <c r="BN212" s="435">
        <f t="shared" si="170"/>
        <v>0</v>
      </c>
      <c r="BO212" s="8">
        <f>BM212*BN212/1000</f>
        <v>0</v>
      </c>
      <c r="BP212" s="18"/>
      <c r="BQ212" s="432">
        <f t="shared" si="171"/>
        <v>0</v>
      </c>
      <c r="BR212" s="18"/>
      <c r="BS212" s="18"/>
      <c r="BT212" s="8">
        <f>BO212*BQ212</f>
        <v>0</v>
      </c>
      <c r="BU212" s="17"/>
    </row>
    <row r="213" spans="1:75" x14ac:dyDescent="0.25">
      <c r="AV213" s="9"/>
      <c r="AW213" s="18"/>
      <c r="AX213" s="433">
        <f t="shared" si="164"/>
        <v>0</v>
      </c>
      <c r="AY213" s="434">
        <f t="shared" si="165"/>
        <v>0</v>
      </c>
      <c r="AZ213" s="435">
        <f t="shared" si="166"/>
        <v>0</v>
      </c>
      <c r="BA213" s="8">
        <f t="shared" ref="BA213:BA215" si="172">AY213*AZ213/1000</f>
        <v>0</v>
      </c>
      <c r="BB213" s="18"/>
      <c r="BC213" s="432">
        <f t="shared" si="167"/>
        <v>0</v>
      </c>
      <c r="BD213" s="18"/>
      <c r="BE213" s="18"/>
      <c r="BF213" s="8">
        <f t="shared" ref="BF213:BF215" si="173">BA213*BC213</f>
        <v>0</v>
      </c>
      <c r="BG213" s="17"/>
      <c r="BH213" s="473"/>
      <c r="BI213" s="474"/>
      <c r="BJ213" s="17"/>
      <c r="BK213" s="18"/>
      <c r="BL213" s="433">
        <f t="shared" si="168"/>
        <v>0</v>
      </c>
      <c r="BM213" s="434">
        <f t="shared" si="169"/>
        <v>0</v>
      </c>
      <c r="BN213" s="435">
        <f t="shared" si="170"/>
        <v>0</v>
      </c>
      <c r="BO213" s="8">
        <f t="shared" ref="BO213:BO215" si="174">BM213*BN213/1000</f>
        <v>0</v>
      </c>
      <c r="BP213" s="18"/>
      <c r="BQ213" s="432">
        <f t="shared" si="171"/>
        <v>0</v>
      </c>
      <c r="BR213" s="18"/>
      <c r="BS213" s="18"/>
      <c r="BT213" s="8">
        <f t="shared" ref="BT213:BT215" si="175">BO213*BQ213</f>
        <v>0</v>
      </c>
      <c r="BU213" s="17"/>
    </row>
    <row r="214" spans="1:75" x14ac:dyDescent="0.25">
      <c r="AV214" s="9"/>
      <c r="AW214" s="18"/>
      <c r="AX214" s="433">
        <f t="shared" si="164"/>
        <v>0</v>
      </c>
      <c r="AY214" s="434">
        <f t="shared" si="165"/>
        <v>0</v>
      </c>
      <c r="AZ214" s="435">
        <f t="shared" si="166"/>
        <v>0</v>
      </c>
      <c r="BA214" s="8">
        <f t="shared" si="172"/>
        <v>0</v>
      </c>
      <c r="BB214" s="18"/>
      <c r="BC214" s="432">
        <f t="shared" si="167"/>
        <v>0</v>
      </c>
      <c r="BD214" s="18"/>
      <c r="BE214" s="18"/>
      <c r="BF214" s="8">
        <f t="shared" si="173"/>
        <v>0</v>
      </c>
      <c r="BG214" s="17"/>
      <c r="BH214" s="473"/>
      <c r="BI214" s="474"/>
      <c r="BJ214" s="17"/>
      <c r="BK214" s="18"/>
      <c r="BL214" s="433">
        <f t="shared" si="168"/>
        <v>0</v>
      </c>
      <c r="BM214" s="434">
        <f t="shared" si="169"/>
        <v>0</v>
      </c>
      <c r="BN214" s="435">
        <f t="shared" si="170"/>
        <v>0</v>
      </c>
      <c r="BO214" s="8">
        <f t="shared" si="174"/>
        <v>0</v>
      </c>
      <c r="BP214" s="18"/>
      <c r="BQ214" s="432">
        <f t="shared" si="171"/>
        <v>0</v>
      </c>
      <c r="BR214" s="18"/>
      <c r="BS214" s="18"/>
      <c r="BT214" s="8">
        <f t="shared" si="175"/>
        <v>0</v>
      </c>
      <c r="BU214" s="17"/>
    </row>
    <row r="215" spans="1:75" x14ac:dyDescent="0.25">
      <c r="AV215" s="9"/>
      <c r="AW215" s="18"/>
      <c r="AX215" s="433">
        <f t="shared" si="164"/>
        <v>0</v>
      </c>
      <c r="AY215" s="434">
        <f t="shared" si="165"/>
        <v>0</v>
      </c>
      <c r="AZ215" s="435">
        <f t="shared" si="166"/>
        <v>0</v>
      </c>
      <c r="BA215" s="8">
        <f t="shared" si="172"/>
        <v>0</v>
      </c>
      <c r="BB215" s="18"/>
      <c r="BC215" s="432">
        <f t="shared" si="167"/>
        <v>0</v>
      </c>
      <c r="BD215" s="18"/>
      <c r="BE215" s="18"/>
      <c r="BF215" s="8">
        <f t="shared" si="173"/>
        <v>0</v>
      </c>
      <c r="BG215" s="17"/>
      <c r="BH215" s="473"/>
      <c r="BI215" s="474"/>
      <c r="BJ215" s="17"/>
      <c r="BK215" s="18"/>
      <c r="BL215" s="433">
        <f t="shared" si="168"/>
        <v>0</v>
      </c>
      <c r="BM215" s="434">
        <f t="shared" si="169"/>
        <v>0</v>
      </c>
      <c r="BN215" s="435">
        <f t="shared" si="170"/>
        <v>0</v>
      </c>
      <c r="BO215" s="8">
        <f t="shared" si="174"/>
        <v>0</v>
      </c>
      <c r="BP215" s="18"/>
      <c r="BQ215" s="432">
        <f t="shared" si="171"/>
        <v>0</v>
      </c>
      <c r="BR215" s="18"/>
      <c r="BS215" s="18"/>
      <c r="BT215" s="8">
        <f t="shared" si="175"/>
        <v>0</v>
      </c>
      <c r="BU215" s="17"/>
    </row>
    <row r="216" spans="1:75" x14ac:dyDescent="0.25">
      <c r="AV216" s="9"/>
      <c r="AW216" s="18"/>
      <c r="AX216" s="14" t="s">
        <v>261</v>
      </c>
      <c r="AY216" s="8" t="e">
        <f>$E$97*(Lähtötiedot!O35+Lähtötiedot!O53)/(Lähtötiedot!$C$8+Lähtötiedot!$C$26)</f>
        <v>#DIV/0!</v>
      </c>
      <c r="AZ216" s="234"/>
      <c r="BA216" s="18"/>
      <c r="BB216" s="18"/>
      <c r="BC216" s="18"/>
      <c r="BD216" s="18"/>
      <c r="BE216" s="18"/>
      <c r="BF216" s="18"/>
      <c r="BG216" s="17"/>
      <c r="BH216" s="473"/>
      <c r="BI216" s="474"/>
      <c r="BJ216" s="17"/>
      <c r="BK216" s="18"/>
      <c r="BL216" s="14" t="s">
        <v>261</v>
      </c>
      <c r="BM216" s="8" t="e">
        <f ca="1">$E$97*(Lähtötiedot!S35+Lähtötiedot!S54)/(Lähtötiedot!$C$8+Lähtötiedot!$C$26)</f>
        <v>#N/A</v>
      </c>
      <c r="BN216" s="234"/>
      <c r="BO216" s="18"/>
      <c r="BP216" s="18"/>
      <c r="BQ216" s="18"/>
      <c r="BR216" s="18"/>
      <c r="BS216" s="18"/>
      <c r="BT216" s="18"/>
      <c r="BU216" s="17"/>
    </row>
    <row r="217" spans="1:75" s="122" customFormat="1" x14ac:dyDescent="0.25">
      <c r="A217" s="308"/>
      <c r="R217" s="308"/>
      <c r="S217" s="311"/>
      <c r="AF217" s="311"/>
      <c r="AG217" s="308"/>
      <c r="AT217" s="308"/>
      <c r="AU217" s="311"/>
      <c r="AV217" s="9"/>
      <c r="AW217" s="18"/>
      <c r="AX217" s="18" t="s">
        <v>262</v>
      </c>
      <c r="AY217" s="8" t="e">
        <f ca="1">$E$98*(Lähtötiedot!O43+(Lähtötiedot!O44*Ruokinta!AZ162)+(Ruokinta!AZ152*Lähtötiedot!O45))/(Lähtötiedot!$C$16+(Lähtötiedot!$C$17*Ruokinta!$F$37)+(Ruokinta!$F$53*Lähtötiedot!$C$18))</f>
        <v>#N/A</v>
      </c>
      <c r="AZ217" s="234"/>
      <c r="BA217" s="18"/>
      <c r="BB217" s="18"/>
      <c r="BC217" s="18"/>
      <c r="BD217" s="18"/>
      <c r="BE217" s="18"/>
      <c r="BF217" s="18"/>
      <c r="BG217" s="17"/>
      <c r="BH217" s="473"/>
      <c r="BI217" s="474"/>
      <c r="BJ217" s="17"/>
      <c r="BK217" s="18"/>
      <c r="BL217" s="18" t="s">
        <v>262</v>
      </c>
      <c r="BM217" s="8" t="e">
        <f ca="1">$E$98*(Lähtötiedot!S43+(Lähtötiedot!S44*Ruokinta!BN162)+(Ruokinta!BN152*Lähtötiedot!S45))/(Lähtötiedot!$C$16+(Lähtötiedot!$C$17*Ruokinta!$F$37)+(Ruokinta!$F$53*Lähtötiedot!$C$18))</f>
        <v>#N/A</v>
      </c>
      <c r="BN217" s="234"/>
      <c r="BO217" s="18"/>
      <c r="BP217" s="18"/>
      <c r="BQ217" s="18"/>
      <c r="BR217" s="18"/>
      <c r="BS217" s="18"/>
      <c r="BT217" s="18"/>
      <c r="BU217" s="17"/>
      <c r="BV217" s="308"/>
      <c r="BW217" s="311"/>
    </row>
    <row r="218" spans="1:75" ht="15.75" thickBot="1" x14ac:dyDescent="0.3">
      <c r="AV218" s="9"/>
      <c r="AW218" s="18"/>
      <c r="AX218" s="18"/>
      <c r="AY218" s="18"/>
      <c r="AZ218" s="234"/>
      <c r="BA218" s="18"/>
      <c r="BB218" s="18"/>
      <c r="BC218" s="18"/>
      <c r="BD218" s="18"/>
      <c r="BE218" s="18"/>
      <c r="BF218" s="18"/>
      <c r="BG218" s="17"/>
      <c r="BH218" s="473"/>
      <c r="BI218" s="474"/>
      <c r="BJ218" s="17"/>
      <c r="BK218" s="18"/>
      <c r="BL218" s="18"/>
      <c r="BM218" s="18"/>
      <c r="BN218" s="234"/>
      <c r="BO218" s="18"/>
      <c r="BP218" s="18"/>
      <c r="BQ218" s="18"/>
      <c r="BR218" s="18"/>
      <c r="BS218" s="18"/>
      <c r="BT218" s="18"/>
      <c r="BU218" s="17"/>
    </row>
    <row r="219" spans="1:75" ht="15.75" thickBot="1" x14ac:dyDescent="0.3">
      <c r="AV219" s="9"/>
      <c r="AW219" s="18"/>
      <c r="AX219" s="18"/>
      <c r="AY219" s="18"/>
      <c r="AZ219" s="234"/>
      <c r="BA219" s="18"/>
      <c r="BB219" s="18"/>
      <c r="BC219" s="18"/>
      <c r="BD219" s="18"/>
      <c r="BE219" s="239" t="s">
        <v>17</v>
      </c>
      <c r="BF219" s="21">
        <f>SUM(BF208:BF216)</f>
        <v>0</v>
      </c>
      <c r="BG219" s="17"/>
      <c r="BH219" s="473"/>
      <c r="BI219" s="474"/>
      <c r="BJ219" s="17"/>
      <c r="BK219" s="18"/>
      <c r="BL219" s="18"/>
      <c r="BM219" s="18"/>
      <c r="BN219" s="234"/>
      <c r="BO219" s="18"/>
      <c r="BP219" s="18"/>
      <c r="BQ219" s="18"/>
      <c r="BR219" s="18"/>
      <c r="BS219" s="239" t="s">
        <v>17</v>
      </c>
      <c r="BT219" s="21">
        <f>SUM(BT208:BT216)</f>
        <v>0</v>
      </c>
      <c r="BU219" s="17"/>
    </row>
    <row r="220" spans="1:75" ht="15.75" thickBot="1" x14ac:dyDescent="0.3">
      <c r="AV220" s="9"/>
      <c r="AW220" s="18"/>
      <c r="AX220" s="18"/>
      <c r="AY220" s="18"/>
      <c r="AZ220" s="234"/>
      <c r="BA220" s="18"/>
      <c r="BB220" s="18"/>
      <c r="BC220" s="18"/>
      <c r="BD220" s="18"/>
      <c r="BE220" s="18"/>
      <c r="BF220" s="18"/>
      <c r="BG220" s="17"/>
      <c r="BH220" s="473"/>
      <c r="BI220" s="474"/>
      <c r="BJ220" s="17"/>
      <c r="BK220" s="18"/>
      <c r="BL220" s="18"/>
      <c r="BM220" s="18"/>
      <c r="BN220" s="234"/>
      <c r="BO220" s="18"/>
      <c r="BP220" s="18"/>
      <c r="BQ220" s="18"/>
      <c r="BR220" s="18"/>
      <c r="BS220" s="18"/>
      <c r="BT220" s="18"/>
      <c r="BU220" s="17"/>
    </row>
    <row r="221" spans="1:75" ht="15.75" thickBot="1" x14ac:dyDescent="0.3">
      <c r="AV221" s="9"/>
      <c r="AW221" s="2"/>
      <c r="AX221" s="2"/>
      <c r="AY221" s="2"/>
      <c r="AZ221" s="13"/>
      <c r="BA221" s="2"/>
      <c r="BB221" s="2"/>
      <c r="BC221" s="2"/>
      <c r="BD221" s="2"/>
      <c r="BE221" s="24" t="s">
        <v>18</v>
      </c>
      <c r="BF221" s="21">
        <f>BF207+BF219</f>
        <v>0</v>
      </c>
      <c r="BG221" s="9"/>
      <c r="BH221" s="473"/>
      <c r="BI221" s="474"/>
      <c r="BJ221" s="9"/>
      <c r="BK221" s="2"/>
      <c r="BL221" s="2"/>
      <c r="BM221" s="2"/>
      <c r="BN221" s="13"/>
      <c r="BO221" s="2"/>
      <c r="BP221" s="2"/>
      <c r="BQ221" s="2"/>
      <c r="BR221" s="2"/>
      <c r="BS221" s="24" t="s">
        <v>18</v>
      </c>
      <c r="BT221" s="21">
        <f>BT207+BT219</f>
        <v>0</v>
      </c>
      <c r="BU221" s="9"/>
    </row>
    <row r="222" spans="1:75" x14ac:dyDescent="0.25">
      <c r="AV222" s="9"/>
      <c r="AW222" s="2"/>
      <c r="AX222" s="2"/>
      <c r="AY222" s="2"/>
      <c r="AZ222" s="13"/>
      <c r="BA222" s="2"/>
      <c r="BB222" s="2"/>
      <c r="BC222" s="2"/>
      <c r="BD222" s="2"/>
      <c r="BE222" s="24"/>
      <c r="BF222" s="24"/>
      <c r="BG222" s="9"/>
      <c r="BH222" s="473"/>
      <c r="BI222" s="474"/>
      <c r="BJ222" s="9"/>
      <c r="BK222" s="2"/>
      <c r="BL222" s="2"/>
      <c r="BM222" s="2"/>
      <c r="BN222" s="13"/>
      <c r="BO222" s="2"/>
      <c r="BP222" s="2"/>
      <c r="BQ222" s="2"/>
      <c r="BR222" s="2"/>
      <c r="BS222" s="24"/>
      <c r="BT222" s="24"/>
      <c r="BU222" s="9"/>
    </row>
    <row r="223" spans="1:75" x14ac:dyDescent="0.25">
      <c r="AW223" s="34" t="s">
        <v>24</v>
      </c>
      <c r="AX223" s="2"/>
      <c r="AY223" s="2"/>
      <c r="AZ223" s="13"/>
      <c r="BA223" s="2"/>
      <c r="BB223" s="2"/>
      <c r="BC223" s="2"/>
      <c r="BD223" s="2"/>
      <c r="BE223" s="122"/>
      <c r="BF223" s="122"/>
      <c r="BG223" s="122"/>
      <c r="BJ223" s="122"/>
      <c r="BK223" s="34" t="s">
        <v>24</v>
      </c>
      <c r="BL223" s="2"/>
      <c r="BM223" s="2"/>
      <c r="BN223" s="13"/>
      <c r="BO223" s="2"/>
      <c r="BP223" s="2"/>
      <c r="BQ223" s="2"/>
      <c r="BR223" s="2"/>
      <c r="BS223" s="122"/>
      <c r="BT223" s="122"/>
      <c r="BU223" s="122"/>
    </row>
    <row r="224" spans="1:75" x14ac:dyDescent="0.25">
      <c r="AW224" s="2"/>
      <c r="AX224" s="2"/>
      <c r="AY224" s="2"/>
      <c r="AZ224" s="13"/>
      <c r="BA224" s="24"/>
      <c r="BB224" s="2"/>
      <c r="BC224" s="2"/>
      <c r="BD224" s="2"/>
      <c r="BE224" s="122"/>
      <c r="BF224" s="122"/>
      <c r="BG224" s="122"/>
      <c r="BJ224" s="122"/>
      <c r="BK224" s="2"/>
      <c r="BL224" s="2"/>
      <c r="BM224" s="2"/>
      <c r="BN224" s="13"/>
      <c r="BO224" s="24"/>
      <c r="BP224" s="2"/>
      <c r="BQ224" s="2"/>
      <c r="BR224" s="2"/>
      <c r="BS224" s="122"/>
      <c r="BT224" s="122"/>
      <c r="BU224" s="122"/>
    </row>
    <row r="225" spans="49:73" x14ac:dyDescent="0.25">
      <c r="AW225" s="2"/>
      <c r="AX225" s="25" t="s">
        <v>18</v>
      </c>
      <c r="AY225" s="2"/>
      <c r="AZ225" s="26"/>
      <c r="BA225" s="8">
        <f>BF221</f>
        <v>0</v>
      </c>
      <c r="BB225" s="2"/>
      <c r="BC225" s="2"/>
      <c r="BD225" s="2"/>
      <c r="BE225" s="122"/>
      <c r="BF225" s="122"/>
      <c r="BG225" s="122"/>
      <c r="BJ225" s="122"/>
      <c r="BK225" s="2"/>
      <c r="BL225" s="25" t="s">
        <v>18</v>
      </c>
      <c r="BM225" s="2"/>
      <c r="BN225" s="26"/>
      <c r="BO225" s="8">
        <f>BT221</f>
        <v>0</v>
      </c>
      <c r="BP225" s="2"/>
      <c r="BQ225" s="2"/>
      <c r="BR225" s="2"/>
      <c r="BS225" s="122"/>
      <c r="BT225" s="122"/>
      <c r="BU225" s="122"/>
    </row>
    <row r="226" spans="49:73" x14ac:dyDescent="0.25">
      <c r="AW226" s="2"/>
      <c r="AX226" s="26" t="s">
        <v>19</v>
      </c>
      <c r="AY226" s="2"/>
      <c r="AZ226" s="25"/>
      <c r="BA226" s="8" t="e">
        <f ca="1">BD181</f>
        <v>#DIV/0!</v>
      </c>
      <c r="BB226" s="2"/>
      <c r="BC226" s="2"/>
      <c r="BD226" s="2"/>
      <c r="BE226" s="122"/>
      <c r="BF226" s="122"/>
      <c r="BG226" s="122"/>
      <c r="BJ226" s="122"/>
      <c r="BK226" s="2"/>
      <c r="BL226" s="26" t="s">
        <v>19</v>
      </c>
      <c r="BM226" s="2"/>
      <c r="BN226" s="25"/>
      <c r="BO226" s="8" t="e">
        <f ca="1">BR181</f>
        <v>#DIV/0!</v>
      </c>
      <c r="BP226" s="2"/>
      <c r="BQ226" s="2"/>
      <c r="BR226" s="2"/>
      <c r="BS226" s="122"/>
      <c r="BT226" s="122"/>
      <c r="BU226" s="122"/>
    </row>
    <row r="227" spans="49:73" ht="15.75" thickBot="1" x14ac:dyDescent="0.3">
      <c r="AW227" s="2"/>
      <c r="AX227" s="2"/>
      <c r="AY227" s="2"/>
      <c r="AZ227" s="2"/>
      <c r="BA227" s="27"/>
      <c r="BB227" s="2"/>
      <c r="BC227" s="2"/>
      <c r="BD227" s="2"/>
      <c r="BE227" s="122"/>
      <c r="BF227" s="122"/>
      <c r="BG227" s="122"/>
      <c r="BJ227" s="122"/>
      <c r="BK227" s="2"/>
      <c r="BL227" s="2"/>
      <c r="BM227" s="2"/>
      <c r="BN227" s="2"/>
      <c r="BO227" s="27"/>
      <c r="BP227" s="2"/>
      <c r="BQ227" s="2"/>
      <c r="BR227" s="2"/>
      <c r="BS227" s="122"/>
      <c r="BT227" s="122"/>
      <c r="BU227" s="122"/>
    </row>
    <row r="228" spans="49:73" ht="15.75" thickBot="1" x14ac:dyDescent="0.3">
      <c r="AW228" s="2"/>
      <c r="AX228" s="29" t="s">
        <v>20</v>
      </c>
      <c r="AY228" s="30"/>
      <c r="AZ228" s="29"/>
      <c r="BA228" s="21" t="e">
        <f ca="1">BA225-BA226</f>
        <v>#DIV/0!</v>
      </c>
      <c r="BB228" s="2"/>
      <c r="BC228" s="31" t="e">
        <f ca="1">BA228/BA225</f>
        <v>#DIV/0!</v>
      </c>
      <c r="BD228" s="2"/>
      <c r="BE228" s="122"/>
      <c r="BF228" s="122"/>
      <c r="BG228" s="122"/>
      <c r="BJ228" s="122"/>
      <c r="BK228" s="2"/>
      <c r="BL228" s="29" t="s">
        <v>20</v>
      </c>
      <c r="BM228" s="30"/>
      <c r="BN228" s="29"/>
      <c r="BO228" s="21" t="e">
        <f ca="1">BO225-BO226</f>
        <v>#DIV/0!</v>
      </c>
      <c r="BP228" s="2"/>
      <c r="BQ228" s="31" t="e">
        <f ca="1">BO228/BO225</f>
        <v>#DIV/0!</v>
      </c>
      <c r="BR228" s="2"/>
      <c r="BS228" s="122"/>
      <c r="BT228" s="122"/>
      <c r="BU228" s="122"/>
    </row>
    <row r="229" spans="49:73" x14ac:dyDescent="0.25">
      <c r="AW229" s="122"/>
      <c r="AX229" s="122"/>
      <c r="AY229" s="122"/>
      <c r="AZ229" s="122"/>
      <c r="BA229" s="122"/>
      <c r="BB229" s="122"/>
      <c r="BC229" s="122"/>
      <c r="BD229" s="122"/>
      <c r="BE229" s="122"/>
      <c r="BF229" s="122"/>
      <c r="BG229" s="122"/>
      <c r="BJ229" s="122"/>
      <c r="BK229" s="122"/>
      <c r="BL229" s="122"/>
      <c r="BM229" s="122"/>
      <c r="BN229" s="122"/>
      <c r="BO229" s="122"/>
      <c r="BP229" s="122"/>
      <c r="BQ229" s="122"/>
      <c r="BR229" s="122"/>
      <c r="BS229" s="122"/>
      <c r="BT229" s="122"/>
      <c r="BU229" s="122"/>
    </row>
    <row r="230" spans="49:73" x14ac:dyDescent="0.25">
      <c r="AW230" s="122"/>
      <c r="AX230" s="122"/>
      <c r="AY230" s="122"/>
      <c r="AZ230" s="122"/>
      <c r="BA230" s="122"/>
      <c r="BB230" s="122"/>
      <c r="BC230" s="122"/>
      <c r="BD230" s="122"/>
      <c r="BE230" s="122"/>
      <c r="BF230" s="122"/>
      <c r="BG230" s="122"/>
      <c r="BJ230" s="122"/>
      <c r="BK230" s="122"/>
      <c r="BL230" s="122"/>
      <c r="BM230" s="122"/>
      <c r="BN230" s="122"/>
      <c r="BO230" s="122"/>
      <c r="BP230" s="122"/>
      <c r="BQ230" s="122"/>
      <c r="BR230" s="122"/>
      <c r="BS230" s="122"/>
      <c r="BT230" s="122"/>
      <c r="BU230" s="122"/>
    </row>
    <row r="231" spans="49:73" x14ac:dyDescent="0.25">
      <c r="AW231" s="122"/>
      <c r="AX231" s="122"/>
      <c r="AY231" s="122"/>
      <c r="AZ231" s="122"/>
      <c r="BA231" s="122"/>
      <c r="BB231" s="122"/>
      <c r="BC231" s="122"/>
      <c r="BD231" s="122"/>
      <c r="BE231" s="122"/>
      <c r="BF231" s="122"/>
      <c r="BG231" s="122"/>
      <c r="BJ231" s="122"/>
      <c r="BK231" s="122"/>
      <c r="BL231" s="122"/>
      <c r="BM231" s="122"/>
      <c r="BN231" s="122"/>
      <c r="BO231" s="122"/>
      <c r="BP231" s="122"/>
      <c r="BQ231" s="122"/>
      <c r="BR231" s="122"/>
      <c r="BS231" s="122"/>
      <c r="BT231" s="122"/>
      <c r="BU231" s="122"/>
    </row>
  </sheetData>
  <sheetProtection algorithmName="SHA-512" hashValue="NOEIojFVocMok3MhMIlsOo7YOgsBNmNy57BdHTZ5NJ2pPbKRX3blyNNI1arPfvrhykmnuu2UcFF5lO/O6JVCkQ==" saltValue="F4ZXhq3GGYw4/30+AfmEPQ==" spinCount="100000" sheet="1" objects="1" scenarios="1" selectLockedCells="1"/>
  <mergeCells count="158">
    <mergeCell ref="A1:B1"/>
    <mergeCell ref="AV113:BU117"/>
    <mergeCell ref="AJ19:AK19"/>
    <mergeCell ref="AJ20:AK20"/>
    <mergeCell ref="AJ17:AK17"/>
    <mergeCell ref="AJ18:AK18"/>
    <mergeCell ref="AJ15:AK15"/>
    <mergeCell ref="AJ16:AK16"/>
    <mergeCell ref="AB62:AC62"/>
    <mergeCell ref="AP62:AQ62"/>
    <mergeCell ref="AJ23:AK23"/>
    <mergeCell ref="AJ24:AK24"/>
    <mergeCell ref="AJ25:AK25"/>
    <mergeCell ref="AJ26:AK26"/>
    <mergeCell ref="AJ27:AK27"/>
    <mergeCell ref="AJ28:AK28"/>
    <mergeCell ref="AJ29:AK29"/>
    <mergeCell ref="V4:X4"/>
    <mergeCell ref="W9:X9"/>
    <mergeCell ref="W8:X8"/>
    <mergeCell ref="W7:X7"/>
    <mergeCell ref="AK9:AL9"/>
    <mergeCell ref="AK10:AL10"/>
    <mergeCell ref="AK11:AL11"/>
    <mergeCell ref="AJ14:AK14"/>
    <mergeCell ref="AJ4:AL4"/>
    <mergeCell ref="AK5:AL5"/>
    <mergeCell ref="AK6:AL6"/>
    <mergeCell ref="AK7:AL7"/>
    <mergeCell ref="AK8:AL8"/>
    <mergeCell ref="D27:E27"/>
    <mergeCell ref="D28:E28"/>
    <mergeCell ref="D62:I62"/>
    <mergeCell ref="J62:K62"/>
    <mergeCell ref="D22:E22"/>
    <mergeCell ref="D23:E23"/>
    <mergeCell ref="D24:E24"/>
    <mergeCell ref="D25:E25"/>
    <mergeCell ref="D26:E26"/>
    <mergeCell ref="C49:E49"/>
    <mergeCell ref="C21:E21"/>
    <mergeCell ref="D13:E13"/>
    <mergeCell ref="V20:W20"/>
    <mergeCell ref="V15:W15"/>
    <mergeCell ref="V16:W16"/>
    <mergeCell ref="V17:W17"/>
    <mergeCell ref="V18:W18"/>
    <mergeCell ref="V19:W19"/>
    <mergeCell ref="D19:E19"/>
    <mergeCell ref="V14:W14"/>
    <mergeCell ref="D18:E18"/>
    <mergeCell ref="D17:E17"/>
    <mergeCell ref="D16:E16"/>
    <mergeCell ref="D15:E15"/>
    <mergeCell ref="D14:E14"/>
    <mergeCell ref="Y24:Z24"/>
    <mergeCell ref="Y23:Z23"/>
    <mergeCell ref="W6:X6"/>
    <mergeCell ref="W5:X5"/>
    <mergeCell ref="Y29:Z29"/>
    <mergeCell ref="Y28:Z28"/>
    <mergeCell ref="Y27:Z27"/>
    <mergeCell ref="Y26:Z26"/>
    <mergeCell ref="Y25:Z25"/>
    <mergeCell ref="V24:X24"/>
    <mergeCell ref="V23:X23"/>
    <mergeCell ref="V29:X29"/>
    <mergeCell ref="V28:X28"/>
    <mergeCell ref="V27:X27"/>
    <mergeCell ref="V26:X26"/>
    <mergeCell ref="V25:X25"/>
    <mergeCell ref="W10:X10"/>
    <mergeCell ref="W11:X11"/>
    <mergeCell ref="BL19:BM19"/>
    <mergeCell ref="BL20:BM20"/>
    <mergeCell ref="BL14:BM14"/>
    <mergeCell ref="BL15:BM15"/>
    <mergeCell ref="BL16:BM16"/>
    <mergeCell ref="BL17:BM17"/>
    <mergeCell ref="BL18:BM18"/>
    <mergeCell ref="BD62:BE62"/>
    <mergeCell ref="AX22:AZ22"/>
    <mergeCell ref="AX23:AY23"/>
    <mergeCell ref="AX24:AY24"/>
    <mergeCell ref="AX25:AY25"/>
    <mergeCell ref="AX26:AY26"/>
    <mergeCell ref="AX19:AY19"/>
    <mergeCell ref="AX20:AY20"/>
    <mergeCell ref="AX27:AY27"/>
    <mergeCell ref="AX28:AY28"/>
    <mergeCell ref="AX29:AY29"/>
    <mergeCell ref="AX14:AY14"/>
    <mergeCell ref="AX15:AY15"/>
    <mergeCell ref="AX16:AY16"/>
    <mergeCell ref="AX17:AY17"/>
    <mergeCell ref="AX18:AY18"/>
    <mergeCell ref="BR62:BS62"/>
    <mergeCell ref="BL23:BN23"/>
    <mergeCell ref="BO23:BP23"/>
    <mergeCell ref="BL24:BN24"/>
    <mergeCell ref="BO24:BP24"/>
    <mergeCell ref="BL25:BN25"/>
    <mergeCell ref="BO25:BP25"/>
    <mergeCell ref="BL26:BN26"/>
    <mergeCell ref="BO26:BP26"/>
    <mergeCell ref="BL27:BN27"/>
    <mergeCell ref="BO27:BP27"/>
    <mergeCell ref="BL28:BN28"/>
    <mergeCell ref="BO28:BP28"/>
    <mergeCell ref="BL29:BN29"/>
    <mergeCell ref="BO29:BP29"/>
    <mergeCell ref="AX136:AY136"/>
    <mergeCell ref="BL136:BM136"/>
    <mergeCell ref="AX137:AY137"/>
    <mergeCell ref="BL137:BM137"/>
    <mergeCell ref="AX138:AY138"/>
    <mergeCell ref="BL138:BM138"/>
    <mergeCell ref="AX133:AY133"/>
    <mergeCell ref="BL133:BM133"/>
    <mergeCell ref="AX134:AY134"/>
    <mergeCell ref="BL134:BM134"/>
    <mergeCell ref="AX135:AY135"/>
    <mergeCell ref="BL135:BM135"/>
    <mergeCell ref="BO145:BP145"/>
    <mergeCell ref="BL146:BN146"/>
    <mergeCell ref="BO146:BP146"/>
    <mergeCell ref="BO142:BP142"/>
    <mergeCell ref="BL143:BN143"/>
    <mergeCell ref="BO143:BP143"/>
    <mergeCell ref="BL144:BN144"/>
    <mergeCell ref="BO144:BP144"/>
    <mergeCell ref="AX139:AY139"/>
    <mergeCell ref="BL139:BM139"/>
    <mergeCell ref="BL142:BN142"/>
    <mergeCell ref="D115:L116"/>
    <mergeCell ref="D111:L112"/>
    <mergeCell ref="D113:L114"/>
    <mergeCell ref="BD181:BE181"/>
    <mergeCell ref="BR181:BS181"/>
    <mergeCell ref="AX142:AZ142"/>
    <mergeCell ref="BA142:BB142"/>
    <mergeCell ref="AX143:AZ143"/>
    <mergeCell ref="BA143:BB143"/>
    <mergeCell ref="AX144:AZ144"/>
    <mergeCell ref="BA144:BB144"/>
    <mergeCell ref="AX145:AZ145"/>
    <mergeCell ref="BA145:BB145"/>
    <mergeCell ref="AX146:AZ146"/>
    <mergeCell ref="BA146:BB146"/>
    <mergeCell ref="AX147:AZ147"/>
    <mergeCell ref="BA147:BB147"/>
    <mergeCell ref="AX148:AZ148"/>
    <mergeCell ref="BL147:BN147"/>
    <mergeCell ref="BO147:BP147"/>
    <mergeCell ref="BL148:BN148"/>
    <mergeCell ref="BO148:BP148"/>
    <mergeCell ref="BA148:BB148"/>
    <mergeCell ref="BL145:BN145"/>
  </mergeCells>
  <pageMargins left="0.7" right="0.7" top="0.75" bottom="0.75" header="0.3" footer="0.3"/>
  <pageSetup paperSize="9"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28791" r:id="rId4" name="Check Box 1143">
              <controlPr defaultSize="0" autoFill="0" autoLine="0" autoPict="0">
                <anchor moveWithCells="1">
                  <from>
                    <xdr:col>4</xdr:col>
                    <xdr:colOff>57150</xdr:colOff>
                    <xdr:row>16</xdr:row>
                    <xdr:rowOff>171450</xdr:rowOff>
                  </from>
                  <to>
                    <xdr:col>4</xdr:col>
                    <xdr:colOff>428625</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94"/>
  <sheetViews>
    <sheetView workbookViewId="0"/>
  </sheetViews>
  <sheetFormatPr defaultRowHeight="15" x14ac:dyDescent="0.25"/>
  <cols>
    <col min="2" max="2" width="16.85546875" customWidth="1"/>
    <col min="3" max="3" width="17.140625" customWidth="1"/>
    <col min="4" max="4" width="10.7109375" customWidth="1"/>
  </cols>
  <sheetData>
    <row r="2" spans="2:21" x14ac:dyDescent="0.25">
      <c r="T2" s="122" t="s">
        <v>284</v>
      </c>
    </row>
    <row r="3" spans="2:21" x14ac:dyDescent="0.25">
      <c r="B3" s="131" t="s">
        <v>90</v>
      </c>
      <c r="C3" s="131" t="s">
        <v>91</v>
      </c>
      <c r="D3" s="333" t="s">
        <v>66</v>
      </c>
    </row>
    <row r="4" spans="2:21" x14ac:dyDescent="0.25">
      <c r="B4" s="131">
        <v>15</v>
      </c>
      <c r="C4" s="131">
        <v>0.1</v>
      </c>
      <c r="D4" s="48">
        <v>4.9000000000000004</v>
      </c>
      <c r="F4" s="131">
        <v>25</v>
      </c>
      <c r="G4" s="131">
        <v>0.1</v>
      </c>
      <c r="H4" s="335">
        <v>7.2449122807017554</v>
      </c>
      <c r="J4" s="131">
        <v>35</v>
      </c>
      <c r="K4" s="131">
        <v>0.1</v>
      </c>
      <c r="L4" s="334">
        <v>9.4500000000000011</v>
      </c>
      <c r="N4" s="131">
        <v>45</v>
      </c>
      <c r="O4" s="131">
        <v>0.1</v>
      </c>
      <c r="P4" s="334">
        <v>11.466666666666688</v>
      </c>
      <c r="T4" s="131">
        <v>40</v>
      </c>
      <c r="U4" s="48">
        <v>6.3892857142857142</v>
      </c>
    </row>
    <row r="5" spans="2:21" x14ac:dyDescent="0.25">
      <c r="B5" s="131"/>
      <c r="C5">
        <v>0.11</v>
      </c>
      <c r="D5" s="48">
        <v>5.09</v>
      </c>
      <c r="F5" s="131"/>
      <c r="G5" s="122">
        <v>0.11</v>
      </c>
      <c r="H5" s="335">
        <v>7.5179649122807026</v>
      </c>
      <c r="J5" s="131"/>
      <c r="K5" s="122">
        <v>0.11</v>
      </c>
      <c r="L5" s="334">
        <v>9.8070000000000022</v>
      </c>
      <c r="N5" s="131"/>
      <c r="O5" s="122">
        <v>0.11</v>
      </c>
      <c r="P5" s="334">
        <v>11.911666666666688</v>
      </c>
      <c r="T5">
        <v>41</v>
      </c>
      <c r="U5" s="48">
        <v>6.4924999999999997</v>
      </c>
    </row>
    <row r="6" spans="2:21" x14ac:dyDescent="0.25">
      <c r="B6" s="131"/>
      <c r="C6" s="131">
        <v>0.12</v>
      </c>
      <c r="D6" s="48">
        <v>5.2799999999999994</v>
      </c>
      <c r="F6" s="131"/>
      <c r="G6" s="131">
        <v>0.12</v>
      </c>
      <c r="H6" s="335">
        <v>7.7910175438596498</v>
      </c>
      <c r="J6" s="131"/>
      <c r="K6" s="131">
        <v>0.12</v>
      </c>
      <c r="L6" s="334">
        <v>10.164000000000001</v>
      </c>
      <c r="N6" s="131"/>
      <c r="O6" s="131">
        <v>0.12</v>
      </c>
      <c r="P6" s="334">
        <v>12.356666666666687</v>
      </c>
      <c r="T6">
        <v>42</v>
      </c>
      <c r="U6" s="48">
        <v>6.5957142857142861</v>
      </c>
    </row>
    <row r="7" spans="2:21" x14ac:dyDescent="0.25">
      <c r="B7" s="131"/>
      <c r="C7" s="122">
        <v>0.13</v>
      </c>
      <c r="D7" s="48">
        <v>5.4699999999999989</v>
      </c>
      <c r="F7" s="131"/>
      <c r="G7" s="122">
        <v>0.13</v>
      </c>
      <c r="H7" s="335">
        <v>8.0640701754385979</v>
      </c>
      <c r="J7" s="131"/>
      <c r="K7" s="122">
        <v>0.13</v>
      </c>
      <c r="L7" s="334">
        <v>10.521000000000001</v>
      </c>
      <c r="N7" s="131"/>
      <c r="O7" s="122">
        <v>0.13</v>
      </c>
      <c r="P7" s="334">
        <v>12.801666666666685</v>
      </c>
      <c r="T7" s="131">
        <v>43</v>
      </c>
      <c r="U7" s="48">
        <v>6.6989285714285716</v>
      </c>
    </row>
    <row r="8" spans="2:21" x14ac:dyDescent="0.25">
      <c r="C8" s="131">
        <v>0.14000000000000001</v>
      </c>
      <c r="D8" s="48">
        <v>5.6599999999999984</v>
      </c>
      <c r="F8" s="131"/>
      <c r="G8" s="131">
        <v>0.14000000000000001</v>
      </c>
      <c r="H8" s="335">
        <v>8.3371228070175452</v>
      </c>
      <c r="J8" s="131"/>
      <c r="K8" s="131">
        <v>0.14000000000000001</v>
      </c>
      <c r="L8" s="334">
        <v>10.878000000000002</v>
      </c>
      <c r="O8" s="131">
        <v>0.14000000000000001</v>
      </c>
      <c r="P8" s="334">
        <v>13.246666666666686</v>
      </c>
      <c r="T8" s="122">
        <v>44</v>
      </c>
      <c r="U8" s="48">
        <v>6.802142857142857</v>
      </c>
    </row>
    <row r="9" spans="2:21" x14ac:dyDescent="0.25">
      <c r="C9" s="122">
        <v>0.15</v>
      </c>
      <c r="D9" s="48">
        <v>5.8499999999999979</v>
      </c>
      <c r="G9" s="122">
        <v>0.15</v>
      </c>
      <c r="H9" s="335">
        <v>8.6101754385964924</v>
      </c>
      <c r="K9" s="122">
        <v>0.15</v>
      </c>
      <c r="L9" s="334">
        <v>11.235000000000001</v>
      </c>
      <c r="O9" s="122">
        <v>0.15</v>
      </c>
      <c r="P9" s="334">
        <v>13.691666666666684</v>
      </c>
      <c r="T9" s="122">
        <v>45</v>
      </c>
      <c r="U9" s="48">
        <v>6.9053571428571434</v>
      </c>
    </row>
    <row r="10" spans="2:21" x14ac:dyDescent="0.25">
      <c r="C10" s="131">
        <v>0.16</v>
      </c>
      <c r="D10" s="48">
        <v>6.0399999999999974</v>
      </c>
      <c r="G10" s="131">
        <v>0.16</v>
      </c>
      <c r="H10" s="335">
        <v>8.8832280701754396</v>
      </c>
      <c r="K10" s="131">
        <v>0.16</v>
      </c>
      <c r="L10" s="334">
        <v>11.592000000000002</v>
      </c>
      <c r="O10" s="131">
        <v>0.16</v>
      </c>
      <c r="P10" s="334">
        <v>14.136666666666684</v>
      </c>
      <c r="T10" s="131">
        <v>46</v>
      </c>
      <c r="U10" s="48">
        <v>7.0085714285714289</v>
      </c>
    </row>
    <row r="11" spans="2:21" x14ac:dyDescent="0.25">
      <c r="C11" s="122">
        <v>0.17</v>
      </c>
      <c r="D11" s="48">
        <v>6.2299999999999969</v>
      </c>
      <c r="G11" s="122">
        <v>0.17</v>
      </c>
      <c r="H11" s="335">
        <v>9.1562807017543868</v>
      </c>
      <c r="K11" s="122">
        <v>0.17</v>
      </c>
      <c r="L11" s="334">
        <v>11.949000000000002</v>
      </c>
      <c r="O11" s="122">
        <v>0.17</v>
      </c>
      <c r="P11" s="334">
        <v>14.581666666666683</v>
      </c>
      <c r="T11" s="122">
        <v>47</v>
      </c>
      <c r="U11" s="48">
        <v>7.1117857142857144</v>
      </c>
    </row>
    <row r="12" spans="2:21" x14ac:dyDescent="0.25">
      <c r="C12" s="131">
        <v>0.18</v>
      </c>
      <c r="D12" s="48">
        <v>6.4199999999999964</v>
      </c>
      <c r="G12" s="131">
        <v>0.18</v>
      </c>
      <c r="H12" s="335">
        <v>9.429333333333334</v>
      </c>
      <c r="K12" s="131">
        <v>0.18</v>
      </c>
      <c r="L12" s="334">
        <v>12.306000000000001</v>
      </c>
      <c r="O12" s="131">
        <v>0.18</v>
      </c>
      <c r="P12" s="334">
        <v>15.026666666666681</v>
      </c>
      <c r="T12" s="122">
        <v>48</v>
      </c>
      <c r="U12" s="48">
        <v>7.2149999999999999</v>
      </c>
    </row>
    <row r="13" spans="2:21" x14ac:dyDescent="0.25">
      <c r="C13" s="122">
        <v>0.19</v>
      </c>
      <c r="D13" s="48">
        <v>6.6099999999999959</v>
      </c>
      <c r="G13" s="122">
        <v>0.19</v>
      </c>
      <c r="H13" s="335">
        <v>9.7023859649122812</v>
      </c>
      <c r="K13" s="122">
        <v>0.19</v>
      </c>
      <c r="L13" s="334">
        <v>12.663</v>
      </c>
      <c r="O13" s="122">
        <v>0.19</v>
      </c>
      <c r="P13" s="334">
        <v>15.471666666666682</v>
      </c>
      <c r="T13" s="131">
        <v>49</v>
      </c>
      <c r="U13" s="48">
        <v>7.3182142857142853</v>
      </c>
    </row>
    <row r="14" spans="2:21" x14ac:dyDescent="0.25">
      <c r="B14" s="122"/>
      <c r="C14" s="131">
        <v>0.2</v>
      </c>
      <c r="D14" s="48">
        <v>6.7999999999999954</v>
      </c>
      <c r="G14" s="131">
        <v>0.2</v>
      </c>
      <c r="H14" s="335">
        <v>9.9754385964912284</v>
      </c>
      <c r="K14" s="131">
        <v>0.2</v>
      </c>
      <c r="L14" s="334">
        <v>13.020000000000001</v>
      </c>
      <c r="O14" s="131">
        <v>0.2</v>
      </c>
      <c r="P14" s="334">
        <v>15.91666666666668</v>
      </c>
      <c r="T14" s="122">
        <v>50</v>
      </c>
      <c r="U14" s="48">
        <v>7.4214285714285717</v>
      </c>
    </row>
    <row r="15" spans="2:21" x14ac:dyDescent="0.25">
      <c r="C15" s="122">
        <v>0.21</v>
      </c>
      <c r="D15" s="48">
        <v>6.9899999999999949</v>
      </c>
      <c r="G15" s="122">
        <v>0.21</v>
      </c>
      <c r="H15" s="335">
        <v>10.248491228070176</v>
      </c>
      <c r="I15" s="48"/>
      <c r="K15" s="122">
        <v>0.21</v>
      </c>
      <c r="L15" s="334">
        <v>13.377000000000001</v>
      </c>
      <c r="O15" s="122">
        <v>0.21</v>
      </c>
      <c r="P15" s="334">
        <v>16.361666666666679</v>
      </c>
      <c r="T15" s="122">
        <v>51</v>
      </c>
      <c r="U15" s="48">
        <v>7.5246428571428572</v>
      </c>
    </row>
    <row r="16" spans="2:21" x14ac:dyDescent="0.25">
      <c r="C16" s="131">
        <v>0.22</v>
      </c>
      <c r="D16" s="48">
        <v>7.1799999999999944</v>
      </c>
      <c r="G16" s="131">
        <v>0.22</v>
      </c>
      <c r="H16" s="335">
        <v>10.521543859649123</v>
      </c>
      <c r="I16" s="48"/>
      <c r="K16" s="131">
        <v>0.22</v>
      </c>
      <c r="L16" s="334">
        <v>13.734000000000002</v>
      </c>
      <c r="O16" s="131">
        <v>0.22</v>
      </c>
      <c r="P16" s="334">
        <v>16.806666666666679</v>
      </c>
      <c r="T16" s="131">
        <v>52</v>
      </c>
      <c r="U16" s="48">
        <v>7.6278571428571427</v>
      </c>
    </row>
    <row r="17" spans="3:21" x14ac:dyDescent="0.25">
      <c r="C17" s="122">
        <v>0.23</v>
      </c>
      <c r="D17" s="48">
        <v>7.3699999999999939</v>
      </c>
      <c r="G17" s="122">
        <v>0.23</v>
      </c>
      <c r="H17" s="335">
        <v>10.79459649122807</v>
      </c>
      <c r="I17" s="48"/>
      <c r="K17" s="122">
        <v>0.23</v>
      </c>
      <c r="L17" s="334">
        <v>14.091000000000001</v>
      </c>
      <c r="O17" s="122">
        <v>0.23</v>
      </c>
      <c r="P17" s="334">
        <v>17.251666666666679</v>
      </c>
      <c r="T17" s="122">
        <v>53</v>
      </c>
      <c r="U17" s="48">
        <v>7.731071428571429</v>
      </c>
    </row>
    <row r="18" spans="3:21" x14ac:dyDescent="0.25">
      <c r="C18" s="131">
        <v>0.24</v>
      </c>
      <c r="D18" s="48">
        <v>7.5599999999999934</v>
      </c>
      <c r="G18" s="131">
        <v>0.24</v>
      </c>
      <c r="H18" s="335">
        <v>11.067649122807019</v>
      </c>
      <c r="K18" s="131">
        <v>0.24</v>
      </c>
      <c r="L18" s="334">
        <v>14.448</v>
      </c>
      <c r="O18" s="131">
        <v>0.24</v>
      </c>
      <c r="P18" s="334">
        <v>17.696666666666676</v>
      </c>
      <c r="T18" s="122">
        <v>54</v>
      </c>
      <c r="U18" s="48">
        <v>7.8342857142857145</v>
      </c>
    </row>
    <row r="19" spans="3:21" x14ac:dyDescent="0.25">
      <c r="C19" s="122">
        <v>0.25</v>
      </c>
      <c r="D19" s="48">
        <v>7.7499999999999929</v>
      </c>
      <c r="G19" s="122">
        <v>0.25</v>
      </c>
      <c r="H19" s="335">
        <v>11.340701754385965</v>
      </c>
      <c r="K19" s="122">
        <v>0.25</v>
      </c>
      <c r="L19" s="334">
        <v>14.805</v>
      </c>
      <c r="O19" s="122">
        <v>0.25</v>
      </c>
      <c r="P19" s="334">
        <v>18.141666666666676</v>
      </c>
      <c r="T19" s="131">
        <v>55</v>
      </c>
      <c r="U19" s="48">
        <v>7.9375</v>
      </c>
    </row>
    <row r="20" spans="3:21" x14ac:dyDescent="0.25">
      <c r="C20" s="131">
        <v>0.26</v>
      </c>
      <c r="D20" s="48">
        <v>7.9399999999999924</v>
      </c>
      <c r="G20" s="131">
        <v>0.26</v>
      </c>
      <c r="H20" s="335">
        <v>11.613754385964913</v>
      </c>
      <c r="K20" s="131">
        <v>0.26</v>
      </c>
      <c r="L20" s="334">
        <v>15.162000000000001</v>
      </c>
      <c r="O20" s="131">
        <v>0.26</v>
      </c>
      <c r="P20" s="334">
        <v>18.586666666666673</v>
      </c>
      <c r="T20" s="122">
        <v>56</v>
      </c>
      <c r="U20" s="48">
        <v>8.0407142857142855</v>
      </c>
    </row>
    <row r="21" spans="3:21" x14ac:dyDescent="0.25">
      <c r="C21" s="122">
        <v>0.27</v>
      </c>
      <c r="D21" s="48">
        <v>8.1299999999999919</v>
      </c>
      <c r="G21" s="122">
        <v>0.27</v>
      </c>
      <c r="H21" s="335">
        <v>11.886807017543859</v>
      </c>
      <c r="K21" s="122">
        <v>0.27</v>
      </c>
      <c r="L21" s="334">
        <v>15.519</v>
      </c>
      <c r="O21" s="122">
        <v>0.27</v>
      </c>
      <c r="P21" s="334">
        <v>19.031666666666673</v>
      </c>
      <c r="T21" s="122">
        <v>57</v>
      </c>
      <c r="U21" s="48">
        <v>8.143928571428571</v>
      </c>
    </row>
    <row r="22" spans="3:21" x14ac:dyDescent="0.25">
      <c r="C22" s="131">
        <v>0.28000000000000003</v>
      </c>
      <c r="D22" s="48">
        <v>8.3199999999999914</v>
      </c>
      <c r="G22" s="131">
        <v>0.28000000000000003</v>
      </c>
      <c r="H22" s="335">
        <v>12.159859649122808</v>
      </c>
      <c r="K22" s="131">
        <v>0.28000000000000003</v>
      </c>
      <c r="L22" s="334">
        <v>15.876000000000001</v>
      </c>
      <c r="O22" s="131">
        <v>0.28000000000000003</v>
      </c>
      <c r="P22" s="334">
        <v>19.476666666666674</v>
      </c>
      <c r="T22" s="131">
        <v>58</v>
      </c>
      <c r="U22" s="48">
        <v>8.2471428571428564</v>
      </c>
    </row>
    <row r="23" spans="3:21" x14ac:dyDescent="0.25">
      <c r="C23" s="122">
        <v>0.28999999999999998</v>
      </c>
      <c r="D23" s="48">
        <v>8.5099999999999909</v>
      </c>
      <c r="G23" s="122">
        <v>0.28999999999999998</v>
      </c>
      <c r="H23" s="335">
        <v>12.432912280701753</v>
      </c>
      <c r="K23" s="122">
        <v>0.28999999999999998</v>
      </c>
      <c r="L23" s="334">
        <v>16.233000000000001</v>
      </c>
      <c r="O23" s="122">
        <v>0.28999999999999998</v>
      </c>
      <c r="P23" s="334">
        <v>19.921666666666674</v>
      </c>
      <c r="T23" s="122">
        <v>59</v>
      </c>
      <c r="U23" s="48">
        <v>8.3503571428571419</v>
      </c>
    </row>
    <row r="24" spans="3:21" x14ac:dyDescent="0.25">
      <c r="C24" s="131">
        <v>0.3</v>
      </c>
      <c r="D24" s="48">
        <v>8.6999999999999904</v>
      </c>
      <c r="G24" s="131">
        <v>0.3</v>
      </c>
      <c r="H24" s="335">
        <v>12.705964912280702</v>
      </c>
      <c r="K24" s="131">
        <v>0.3</v>
      </c>
      <c r="L24" s="334">
        <v>16.59</v>
      </c>
      <c r="O24" s="131">
        <v>0.3</v>
      </c>
      <c r="P24" s="334">
        <v>20.366666666666671</v>
      </c>
      <c r="T24" s="122">
        <v>60</v>
      </c>
      <c r="U24" s="48">
        <v>8.4535714285714292</v>
      </c>
    </row>
    <row r="25" spans="3:21" x14ac:dyDescent="0.25">
      <c r="C25" s="122">
        <v>0.31</v>
      </c>
      <c r="D25" s="48">
        <v>8.8899999999999899</v>
      </c>
      <c r="G25" s="122">
        <v>0.31</v>
      </c>
      <c r="H25" s="335">
        <v>12.97901754385965</v>
      </c>
      <c r="K25" s="122">
        <v>0.31</v>
      </c>
      <c r="L25" s="334">
        <v>16.946999999999999</v>
      </c>
      <c r="O25" s="122">
        <v>0.31</v>
      </c>
      <c r="P25" s="334">
        <v>20.811666666666671</v>
      </c>
      <c r="T25" s="131">
        <v>61</v>
      </c>
      <c r="U25" s="48">
        <v>8.5567857142857147</v>
      </c>
    </row>
    <row r="26" spans="3:21" x14ac:dyDescent="0.25">
      <c r="C26" s="131">
        <v>0.32</v>
      </c>
      <c r="D26" s="48">
        <v>9.0799999999999912</v>
      </c>
      <c r="G26" s="131">
        <v>0.32</v>
      </c>
      <c r="H26" s="335">
        <v>13.252070175438597</v>
      </c>
      <c r="K26" s="131">
        <v>0.32</v>
      </c>
      <c r="L26" s="334">
        <v>17.304000000000002</v>
      </c>
      <c r="O26" s="131">
        <v>0.32</v>
      </c>
      <c r="P26" s="334">
        <v>21.256666666666668</v>
      </c>
      <c r="T26" s="122">
        <v>62</v>
      </c>
      <c r="U26" s="48">
        <v>8.66</v>
      </c>
    </row>
    <row r="27" spans="3:21" x14ac:dyDescent="0.25">
      <c r="C27" s="122">
        <v>0.33</v>
      </c>
      <c r="D27" s="48">
        <v>9.2699999999999889</v>
      </c>
      <c r="G27" s="122">
        <v>0.33</v>
      </c>
      <c r="H27" s="335">
        <v>13.525122807017544</v>
      </c>
      <c r="K27" s="122">
        <v>0.33</v>
      </c>
      <c r="L27" s="334">
        <v>17.661000000000001</v>
      </c>
      <c r="O27" s="122">
        <v>0.33</v>
      </c>
      <c r="P27" s="334">
        <v>21.701666666666668</v>
      </c>
      <c r="T27" s="122">
        <v>63</v>
      </c>
      <c r="U27" s="48">
        <v>8.7632142857142856</v>
      </c>
    </row>
    <row r="28" spans="3:21" x14ac:dyDescent="0.25">
      <c r="C28" s="131">
        <v>0.34</v>
      </c>
      <c r="D28" s="48">
        <v>9.4599999999999902</v>
      </c>
      <c r="G28" s="131">
        <v>0.34</v>
      </c>
      <c r="H28" s="335">
        <v>13.798175438596491</v>
      </c>
      <c r="K28" s="131">
        <v>0.34</v>
      </c>
      <c r="L28" s="334">
        <v>18.018000000000001</v>
      </c>
      <c r="O28" s="131">
        <v>0.34</v>
      </c>
      <c r="P28" s="334">
        <v>22.146666666666668</v>
      </c>
      <c r="T28" s="131">
        <v>64</v>
      </c>
      <c r="U28" s="48">
        <v>8.8664285714285711</v>
      </c>
    </row>
    <row r="29" spans="3:21" x14ac:dyDescent="0.25">
      <c r="C29" s="122">
        <v>0.35</v>
      </c>
      <c r="D29" s="48">
        <v>9.6499999999999879</v>
      </c>
      <c r="G29" s="122">
        <v>0.35</v>
      </c>
      <c r="H29" s="335">
        <v>14.071228070175438</v>
      </c>
      <c r="K29" s="122">
        <v>0.35</v>
      </c>
      <c r="L29" s="334">
        <v>18.375</v>
      </c>
      <c r="O29" s="122">
        <v>0.35</v>
      </c>
      <c r="P29" s="334">
        <v>22.591666666666669</v>
      </c>
      <c r="T29" s="122">
        <v>65</v>
      </c>
      <c r="U29" s="48">
        <v>8.9696428571428566</v>
      </c>
    </row>
    <row r="30" spans="3:21" x14ac:dyDescent="0.25">
      <c r="C30" s="131">
        <v>0.36</v>
      </c>
      <c r="D30" s="48">
        <v>9.8399999999999892</v>
      </c>
      <c r="G30" s="131">
        <v>0.36</v>
      </c>
      <c r="H30" s="335">
        <v>14.344280701754386</v>
      </c>
      <c r="K30" s="131">
        <v>0.36</v>
      </c>
      <c r="L30" s="334">
        <v>18.731999999999999</v>
      </c>
      <c r="O30" s="131">
        <v>0.36</v>
      </c>
      <c r="P30" s="334">
        <v>23.036666666666665</v>
      </c>
      <c r="T30" s="122">
        <v>66</v>
      </c>
      <c r="U30" s="48">
        <v>9.0728571428571421</v>
      </c>
    </row>
    <row r="31" spans="3:21" x14ac:dyDescent="0.25">
      <c r="C31" s="122">
        <v>0.37</v>
      </c>
      <c r="D31" s="48">
        <v>10.029999999999987</v>
      </c>
      <c r="G31" s="122">
        <v>0.37</v>
      </c>
      <c r="H31" s="335">
        <v>14.617333333333335</v>
      </c>
      <c r="K31" s="122">
        <v>0.37</v>
      </c>
      <c r="L31" s="334">
        <v>19.088999999999999</v>
      </c>
      <c r="O31" s="122">
        <v>0.37</v>
      </c>
      <c r="P31" s="334">
        <v>23.481666666666666</v>
      </c>
      <c r="T31" s="131">
        <v>67</v>
      </c>
      <c r="U31" s="48">
        <v>9.1760714285714293</v>
      </c>
    </row>
    <row r="32" spans="3:21" x14ac:dyDescent="0.25">
      <c r="C32" s="131">
        <v>0.38</v>
      </c>
      <c r="D32" s="48">
        <v>10.219999999999988</v>
      </c>
      <c r="G32" s="131">
        <v>0.38</v>
      </c>
      <c r="H32" s="335">
        <v>14.89038596491228</v>
      </c>
      <c r="K32" s="131">
        <v>0.38</v>
      </c>
      <c r="L32" s="334">
        <v>19.445999999999998</v>
      </c>
      <c r="O32" s="131">
        <v>0.38</v>
      </c>
      <c r="P32" s="334">
        <v>23.926666666666662</v>
      </c>
      <c r="T32" s="122">
        <v>68</v>
      </c>
      <c r="U32" s="48">
        <v>9.279285714285713</v>
      </c>
    </row>
    <row r="33" spans="3:21" x14ac:dyDescent="0.25">
      <c r="C33" s="122">
        <v>0.39</v>
      </c>
      <c r="D33" s="48">
        <v>10.409999999999986</v>
      </c>
      <c r="G33" s="122">
        <v>0.39</v>
      </c>
      <c r="H33" s="335">
        <v>15.163438596491229</v>
      </c>
      <c r="K33" s="122">
        <v>0.39</v>
      </c>
      <c r="L33" s="334">
        <v>19.802999999999997</v>
      </c>
      <c r="O33" s="122">
        <v>0.39</v>
      </c>
      <c r="P33" s="334">
        <v>24.371666666666663</v>
      </c>
      <c r="T33" s="122">
        <v>69</v>
      </c>
      <c r="U33" s="48">
        <v>9.3825000000000003</v>
      </c>
    </row>
    <row r="34" spans="3:21" x14ac:dyDescent="0.25">
      <c r="C34" s="131">
        <v>0.4</v>
      </c>
      <c r="D34" s="48">
        <v>10.599999999999987</v>
      </c>
      <c r="G34" s="131">
        <v>0.4</v>
      </c>
      <c r="H34" s="335">
        <v>15.436491228070174</v>
      </c>
      <c r="K34" s="131">
        <v>0.4</v>
      </c>
      <c r="L34" s="334">
        <v>20.16</v>
      </c>
      <c r="O34" s="131">
        <v>0.4</v>
      </c>
      <c r="P34" s="334">
        <v>24.816666666666663</v>
      </c>
      <c r="T34" s="131">
        <v>70</v>
      </c>
      <c r="U34" s="48">
        <v>9.4857142857142858</v>
      </c>
    </row>
    <row r="35" spans="3:21" x14ac:dyDescent="0.25">
      <c r="C35" s="122">
        <v>0.41</v>
      </c>
      <c r="D35" s="48">
        <v>10.789999999999985</v>
      </c>
      <c r="G35" s="122">
        <v>0.41</v>
      </c>
      <c r="H35" s="335">
        <v>15.709543859649123</v>
      </c>
      <c r="K35" s="122">
        <v>0.41</v>
      </c>
      <c r="L35" s="334">
        <v>20.516999999999999</v>
      </c>
      <c r="O35" s="122">
        <v>0.41</v>
      </c>
      <c r="P35" s="334">
        <v>25.261666666666663</v>
      </c>
      <c r="T35" s="122">
        <v>71</v>
      </c>
      <c r="U35" s="48">
        <v>9.5889285714285712</v>
      </c>
    </row>
    <row r="36" spans="3:21" x14ac:dyDescent="0.25">
      <c r="C36" s="131">
        <v>0.42</v>
      </c>
      <c r="D36" s="48">
        <v>10.979999999999986</v>
      </c>
      <c r="G36" s="131">
        <v>0.42</v>
      </c>
      <c r="H36" s="335">
        <v>15.982596491228069</v>
      </c>
      <c r="K36" s="131">
        <v>0.42</v>
      </c>
      <c r="L36" s="334">
        <v>20.873999999999999</v>
      </c>
      <c r="O36" s="131">
        <v>0.42</v>
      </c>
      <c r="P36" s="334">
        <v>25.70666666666666</v>
      </c>
      <c r="T36" s="122">
        <v>72</v>
      </c>
      <c r="U36" s="48">
        <v>9.6921428571428567</v>
      </c>
    </row>
    <row r="37" spans="3:21" x14ac:dyDescent="0.25">
      <c r="C37" s="122">
        <v>0.43</v>
      </c>
      <c r="D37" s="48">
        <v>11.169999999999984</v>
      </c>
      <c r="G37" s="122">
        <v>0.43</v>
      </c>
      <c r="H37" s="335">
        <v>16.255649122807018</v>
      </c>
      <c r="K37" s="122">
        <v>0.43</v>
      </c>
      <c r="L37" s="334">
        <v>21.231000000000002</v>
      </c>
      <c r="O37" s="122">
        <v>0.43</v>
      </c>
      <c r="P37" s="334">
        <v>26.15166666666666</v>
      </c>
      <c r="T37" s="131">
        <v>73</v>
      </c>
      <c r="U37" s="48">
        <v>9.7953571428571422</v>
      </c>
    </row>
    <row r="38" spans="3:21" x14ac:dyDescent="0.25">
      <c r="C38" s="131">
        <v>0.44</v>
      </c>
      <c r="D38" s="48">
        <v>11.359999999999985</v>
      </c>
      <c r="G38" s="131">
        <v>0.44</v>
      </c>
      <c r="H38" s="335">
        <v>16.528701754385963</v>
      </c>
      <c r="K38" s="131">
        <v>0.44</v>
      </c>
      <c r="L38" s="334">
        <v>21.588000000000001</v>
      </c>
      <c r="O38" s="131">
        <v>0.44</v>
      </c>
      <c r="P38" s="334">
        <v>26.596666666666657</v>
      </c>
      <c r="T38" s="122">
        <v>74</v>
      </c>
      <c r="U38" s="48">
        <v>9.8985714285714295</v>
      </c>
    </row>
    <row r="39" spans="3:21" x14ac:dyDescent="0.25">
      <c r="C39" s="122">
        <v>0.45</v>
      </c>
      <c r="D39" s="48">
        <v>11.549999999999983</v>
      </c>
      <c r="G39" s="122">
        <v>0.45</v>
      </c>
      <c r="H39" s="335">
        <v>16.801754385964912</v>
      </c>
      <c r="K39" s="122">
        <v>0.45</v>
      </c>
      <c r="L39" s="334">
        <v>21.945</v>
      </c>
      <c r="O39" s="122">
        <v>0.45</v>
      </c>
      <c r="P39" s="334">
        <v>27.041666666666657</v>
      </c>
      <c r="T39" s="122">
        <v>75</v>
      </c>
      <c r="U39" s="48">
        <v>10.001785714285713</v>
      </c>
    </row>
    <row r="40" spans="3:21" x14ac:dyDescent="0.25">
      <c r="C40" s="131">
        <v>0.46</v>
      </c>
      <c r="D40" s="48">
        <v>11.739999999999984</v>
      </c>
      <c r="G40" s="131">
        <v>0.46</v>
      </c>
      <c r="H40" s="335">
        <v>17.074807017543858</v>
      </c>
      <c r="K40" s="131">
        <v>0.46</v>
      </c>
      <c r="L40" s="334">
        <v>22.302</v>
      </c>
      <c r="O40" s="131">
        <v>0.46</v>
      </c>
      <c r="P40" s="334">
        <v>27.486666666666657</v>
      </c>
      <c r="T40" s="131">
        <v>76</v>
      </c>
      <c r="U40" s="48">
        <v>10.105</v>
      </c>
    </row>
    <row r="41" spans="3:21" x14ac:dyDescent="0.25">
      <c r="C41" s="122">
        <v>0.47</v>
      </c>
      <c r="D41" s="48">
        <v>11.929999999999982</v>
      </c>
      <c r="G41" s="122">
        <v>0.47</v>
      </c>
      <c r="H41" s="335">
        <v>17.347859649122807</v>
      </c>
      <c r="K41" s="122">
        <v>0.47</v>
      </c>
      <c r="L41" s="334">
        <v>22.658999999999999</v>
      </c>
      <c r="O41" s="122">
        <v>0.47</v>
      </c>
      <c r="P41" s="334">
        <v>27.931666666666658</v>
      </c>
      <c r="T41" s="122">
        <v>77</v>
      </c>
      <c r="U41" s="48">
        <v>10.208214285714286</v>
      </c>
    </row>
    <row r="42" spans="3:21" x14ac:dyDescent="0.25">
      <c r="C42" s="131">
        <v>0.48</v>
      </c>
      <c r="D42" s="48">
        <v>12.119999999999983</v>
      </c>
      <c r="G42" s="131">
        <v>0.48</v>
      </c>
      <c r="H42" s="335">
        <v>17.620912280701752</v>
      </c>
      <c r="K42" s="131">
        <v>0.48</v>
      </c>
      <c r="L42" s="334">
        <v>23.015999999999998</v>
      </c>
      <c r="O42" s="131">
        <v>0.48</v>
      </c>
      <c r="P42" s="334">
        <v>28.376666666666654</v>
      </c>
      <c r="T42" s="122">
        <v>78</v>
      </c>
      <c r="U42" s="48">
        <v>10.311428571428571</v>
      </c>
    </row>
    <row r="43" spans="3:21" x14ac:dyDescent="0.25">
      <c r="C43" s="122">
        <v>0.49</v>
      </c>
      <c r="D43" s="48">
        <v>12.309999999999981</v>
      </c>
      <c r="G43" s="122">
        <v>0.49</v>
      </c>
      <c r="H43" s="335">
        <v>17.893964912280701</v>
      </c>
      <c r="K43" s="122">
        <v>0.49</v>
      </c>
      <c r="L43" s="334">
        <v>23.372999999999998</v>
      </c>
      <c r="O43" s="122">
        <v>0.49</v>
      </c>
      <c r="P43" s="334">
        <v>28.821666666666655</v>
      </c>
      <c r="T43" s="131">
        <v>79</v>
      </c>
      <c r="U43" s="48">
        <v>10.414642857142857</v>
      </c>
    </row>
    <row r="44" spans="3:21" x14ac:dyDescent="0.25">
      <c r="C44" s="131">
        <v>0.5</v>
      </c>
      <c r="D44" s="48">
        <v>12.499999999999982</v>
      </c>
      <c r="G44" s="131">
        <v>0.5</v>
      </c>
      <c r="H44" s="335">
        <v>18.16701754385965</v>
      </c>
      <c r="K44" s="131">
        <v>0.5</v>
      </c>
      <c r="L44" s="334">
        <v>23.729999999999997</v>
      </c>
      <c r="O44" s="131">
        <v>0.5</v>
      </c>
      <c r="P44" s="334">
        <v>29.266666666666655</v>
      </c>
      <c r="T44" s="122">
        <v>80</v>
      </c>
      <c r="U44" s="48">
        <v>10.517857142857142</v>
      </c>
    </row>
    <row r="45" spans="3:21" x14ac:dyDescent="0.25">
      <c r="C45" s="122">
        <v>0.51</v>
      </c>
      <c r="D45" s="48">
        <v>12.68999999999998</v>
      </c>
      <c r="G45" s="122">
        <v>0.51</v>
      </c>
      <c r="H45" s="335">
        <v>18.440070175438596</v>
      </c>
      <c r="K45" s="122">
        <v>0.51</v>
      </c>
      <c r="L45" s="334">
        <v>24.086999999999996</v>
      </c>
      <c r="O45" s="122">
        <v>0.51</v>
      </c>
      <c r="P45" s="334">
        <v>29.711666666666652</v>
      </c>
      <c r="T45" s="122">
        <v>81</v>
      </c>
      <c r="U45" s="48">
        <v>10.621071428571428</v>
      </c>
    </row>
    <row r="46" spans="3:21" x14ac:dyDescent="0.25">
      <c r="C46" s="131">
        <v>0.52</v>
      </c>
      <c r="D46" s="48">
        <v>12.879999999999981</v>
      </c>
      <c r="G46" s="131">
        <v>0.52</v>
      </c>
      <c r="H46" s="335">
        <v>18.713122807017545</v>
      </c>
      <c r="K46" s="131">
        <v>0.52</v>
      </c>
      <c r="L46" s="334">
        <v>24.443999999999999</v>
      </c>
      <c r="O46" s="131">
        <v>0.52</v>
      </c>
      <c r="P46" s="334">
        <v>30.156666666666652</v>
      </c>
      <c r="T46" s="131">
        <v>82</v>
      </c>
      <c r="U46" s="48">
        <v>10.724285714285713</v>
      </c>
    </row>
    <row r="47" spans="3:21" x14ac:dyDescent="0.25">
      <c r="C47" s="122">
        <v>0.53</v>
      </c>
      <c r="D47" s="48">
        <v>13.069999999999981</v>
      </c>
      <c r="G47" s="122">
        <v>0.53</v>
      </c>
      <c r="H47" s="335">
        <v>18.98617543859649</v>
      </c>
      <c r="K47" s="122">
        <v>0.53</v>
      </c>
      <c r="L47" s="334">
        <v>24.800999999999998</v>
      </c>
      <c r="O47" s="122">
        <v>0.53</v>
      </c>
      <c r="P47" s="334">
        <v>30.601666666666652</v>
      </c>
      <c r="T47" s="122">
        <v>83</v>
      </c>
      <c r="U47" s="48">
        <v>10.827500000000001</v>
      </c>
    </row>
    <row r="48" spans="3:21" x14ac:dyDescent="0.25">
      <c r="C48" s="131">
        <v>0.54</v>
      </c>
      <c r="D48" s="48">
        <v>13.25999999999998</v>
      </c>
      <c r="G48" s="131">
        <v>0.54</v>
      </c>
      <c r="H48" s="335">
        <v>19.259228070175439</v>
      </c>
      <c r="K48" s="131">
        <v>0.54</v>
      </c>
      <c r="L48" s="334">
        <v>25.158000000000001</v>
      </c>
      <c r="O48" s="131">
        <v>0.54</v>
      </c>
      <c r="P48" s="334">
        <v>31.046666666666649</v>
      </c>
      <c r="T48" s="122">
        <v>84</v>
      </c>
      <c r="U48" s="48">
        <v>10.930714285714284</v>
      </c>
    </row>
    <row r="49" spans="3:21" x14ac:dyDescent="0.25">
      <c r="C49" s="122">
        <v>0.55000000000000004</v>
      </c>
      <c r="D49" s="48">
        <v>13.44999999999998</v>
      </c>
      <c r="G49" s="122">
        <v>0.55000000000000004</v>
      </c>
      <c r="H49" s="335">
        <v>19.532280701754384</v>
      </c>
      <c r="K49" s="122">
        <v>0.55000000000000004</v>
      </c>
      <c r="L49" s="334">
        <v>25.515000000000001</v>
      </c>
      <c r="O49" s="122">
        <v>0.55000000000000004</v>
      </c>
      <c r="P49" s="334">
        <v>31.491666666666649</v>
      </c>
      <c r="T49" s="131">
        <v>85</v>
      </c>
      <c r="U49" s="48">
        <v>11.033928571428572</v>
      </c>
    </row>
    <row r="50" spans="3:21" x14ac:dyDescent="0.25">
      <c r="C50" s="131">
        <v>0.56000000000000005</v>
      </c>
      <c r="D50" s="48">
        <v>13.639999999999979</v>
      </c>
      <c r="G50" s="131">
        <v>0.56000000000000005</v>
      </c>
      <c r="H50" s="335">
        <v>19.805333333333333</v>
      </c>
      <c r="K50" s="131">
        <v>0.56000000000000005</v>
      </c>
      <c r="L50" s="334">
        <v>25.872</v>
      </c>
      <c r="O50" s="131">
        <v>0.56000000000000005</v>
      </c>
      <c r="P50" s="334">
        <v>31.93666666666665</v>
      </c>
      <c r="T50" s="122">
        <v>86</v>
      </c>
      <c r="U50" s="48">
        <v>11.137142857142857</v>
      </c>
    </row>
    <row r="51" spans="3:21" x14ac:dyDescent="0.25">
      <c r="C51" s="122">
        <v>0.56999999999999995</v>
      </c>
      <c r="D51" s="48">
        <v>13.829999999999979</v>
      </c>
      <c r="G51" s="122">
        <v>0.56999999999999995</v>
      </c>
      <c r="H51" s="335">
        <v>20.078385964912279</v>
      </c>
      <c r="K51" s="122">
        <v>0.56999999999999995</v>
      </c>
      <c r="L51" s="334">
        <v>26.228999999999999</v>
      </c>
      <c r="O51" s="122">
        <v>0.56999999999999995</v>
      </c>
      <c r="P51" s="334">
        <v>32.381666666666646</v>
      </c>
      <c r="T51" s="122">
        <v>87</v>
      </c>
      <c r="U51" s="48">
        <v>11.240357142857142</v>
      </c>
    </row>
    <row r="52" spans="3:21" x14ac:dyDescent="0.25">
      <c r="C52" s="131">
        <v>0.57999999999999996</v>
      </c>
      <c r="D52" s="48">
        <v>14.019999999999978</v>
      </c>
      <c r="G52" s="131">
        <v>0.57999999999999996</v>
      </c>
      <c r="H52" s="335">
        <v>20.351438596491228</v>
      </c>
      <c r="K52" s="131">
        <v>0.57999999999999996</v>
      </c>
      <c r="L52" s="334">
        <v>26.585999999999999</v>
      </c>
      <c r="O52" s="131">
        <v>0.57999999999999996</v>
      </c>
      <c r="P52" s="334">
        <v>32.826666666666647</v>
      </c>
      <c r="T52" s="131">
        <v>88</v>
      </c>
      <c r="U52" s="48">
        <v>11.343571428571428</v>
      </c>
    </row>
    <row r="53" spans="3:21" x14ac:dyDescent="0.25">
      <c r="C53" s="122">
        <v>0.59</v>
      </c>
      <c r="D53" s="48">
        <v>14.209999999999978</v>
      </c>
      <c r="G53" s="122">
        <v>0.59</v>
      </c>
      <c r="H53" s="335">
        <v>20.624491228070173</v>
      </c>
      <c r="K53" s="122">
        <v>0.59</v>
      </c>
      <c r="L53" s="334">
        <v>26.942999999999998</v>
      </c>
      <c r="O53" s="122">
        <v>0.59</v>
      </c>
      <c r="P53" s="334">
        <v>33.271666666666647</v>
      </c>
      <c r="T53" s="122">
        <v>89</v>
      </c>
      <c r="U53" s="48">
        <v>11.446785714285713</v>
      </c>
    </row>
    <row r="54" spans="3:21" x14ac:dyDescent="0.25">
      <c r="C54" s="131">
        <v>0.6</v>
      </c>
      <c r="D54" s="48">
        <v>14.399999999999977</v>
      </c>
      <c r="G54" s="131">
        <v>0.6</v>
      </c>
      <c r="H54" s="335">
        <v>20.897543859649122</v>
      </c>
      <c r="K54" s="131">
        <v>0.6</v>
      </c>
      <c r="L54" s="334">
        <v>27.299999999999997</v>
      </c>
      <c r="O54" s="131">
        <v>0.6</v>
      </c>
      <c r="P54" s="334">
        <v>33.71666666666664</v>
      </c>
      <c r="T54" s="122">
        <v>90</v>
      </c>
      <c r="U54" s="48">
        <v>11.55</v>
      </c>
    </row>
    <row r="55" spans="3:21" x14ac:dyDescent="0.25">
      <c r="C55" s="122">
        <v>0.61</v>
      </c>
      <c r="D55" s="48">
        <v>14.589999999999977</v>
      </c>
      <c r="G55" s="122">
        <v>0.61</v>
      </c>
      <c r="H55" s="335">
        <v>21.170596491228068</v>
      </c>
      <c r="K55" s="122">
        <v>0.61</v>
      </c>
      <c r="L55" s="334">
        <v>27.656999999999996</v>
      </c>
      <c r="O55" s="122">
        <v>0.61</v>
      </c>
      <c r="P55" s="334">
        <v>34.161666666666648</v>
      </c>
      <c r="T55" s="131">
        <v>91</v>
      </c>
      <c r="U55" s="48">
        <v>11.653214285714284</v>
      </c>
    </row>
    <row r="56" spans="3:21" x14ac:dyDescent="0.25">
      <c r="G56" s="122"/>
      <c r="K56" s="131">
        <v>0.62</v>
      </c>
      <c r="L56" s="334">
        <v>28.013999999999996</v>
      </c>
      <c r="O56" s="131">
        <v>0.62</v>
      </c>
      <c r="P56" s="334">
        <v>34.606666666666641</v>
      </c>
      <c r="T56" s="122">
        <v>92</v>
      </c>
      <c r="U56" s="48">
        <v>11.756428571428572</v>
      </c>
    </row>
    <row r="57" spans="3:21" x14ac:dyDescent="0.25">
      <c r="T57" s="122">
        <v>93</v>
      </c>
      <c r="U57" s="48">
        <v>11.859642857142857</v>
      </c>
    </row>
    <row r="58" spans="3:21" x14ac:dyDescent="0.25">
      <c r="T58" s="131">
        <v>94</v>
      </c>
      <c r="U58" s="48">
        <v>11.962857142857143</v>
      </c>
    </row>
    <row r="59" spans="3:21" x14ac:dyDescent="0.25">
      <c r="T59" s="122">
        <v>95</v>
      </c>
      <c r="U59" s="48">
        <v>12.066071428571428</v>
      </c>
    </row>
    <row r="60" spans="3:21" x14ac:dyDescent="0.25">
      <c r="T60" s="122">
        <v>96</v>
      </c>
      <c r="U60" s="48">
        <v>12.169285714285714</v>
      </c>
    </row>
    <row r="61" spans="3:21" x14ac:dyDescent="0.25">
      <c r="T61" s="131">
        <v>97</v>
      </c>
      <c r="U61" s="48">
        <v>12.272499999999999</v>
      </c>
    </row>
    <row r="62" spans="3:21" x14ac:dyDescent="0.25">
      <c r="T62" s="122">
        <v>98</v>
      </c>
      <c r="U62" s="48">
        <v>12.375714285714285</v>
      </c>
    </row>
    <row r="63" spans="3:21" x14ac:dyDescent="0.25">
      <c r="T63" s="122">
        <v>99</v>
      </c>
      <c r="U63" s="48">
        <v>12.478928571428572</v>
      </c>
    </row>
    <row r="64" spans="3:21" x14ac:dyDescent="0.25">
      <c r="T64" s="131">
        <v>100</v>
      </c>
      <c r="U64" s="48">
        <v>12.582142857142856</v>
      </c>
    </row>
    <row r="65" spans="20:21" x14ac:dyDescent="0.25">
      <c r="T65" s="122">
        <v>101</v>
      </c>
      <c r="U65" s="48">
        <v>12.685357142857143</v>
      </c>
    </row>
    <row r="66" spans="20:21" x14ac:dyDescent="0.25">
      <c r="T66" s="122">
        <v>102</v>
      </c>
      <c r="U66" s="48">
        <v>12.788571428571428</v>
      </c>
    </row>
    <row r="67" spans="20:21" x14ac:dyDescent="0.25">
      <c r="T67" s="131">
        <v>103</v>
      </c>
      <c r="U67" s="48">
        <v>12.891785714285714</v>
      </c>
    </row>
    <row r="68" spans="20:21" x14ac:dyDescent="0.25">
      <c r="T68" s="122">
        <v>104</v>
      </c>
      <c r="U68" s="48">
        <v>12.994999999999999</v>
      </c>
    </row>
    <row r="69" spans="20:21" x14ac:dyDescent="0.25">
      <c r="T69" s="122">
        <v>105</v>
      </c>
      <c r="U69" s="48">
        <v>13.098214285714285</v>
      </c>
    </row>
    <row r="70" spans="20:21" x14ac:dyDescent="0.25">
      <c r="T70" s="131">
        <v>106</v>
      </c>
      <c r="U70" s="48">
        <v>13.201428571428572</v>
      </c>
    </row>
    <row r="71" spans="20:21" x14ac:dyDescent="0.25">
      <c r="T71" s="122">
        <v>107</v>
      </c>
      <c r="U71" s="48">
        <v>13.304642857142856</v>
      </c>
    </row>
    <row r="72" spans="20:21" x14ac:dyDescent="0.25">
      <c r="T72" s="122">
        <v>108</v>
      </c>
      <c r="U72" s="48">
        <v>13.407857142857143</v>
      </c>
    </row>
    <row r="73" spans="20:21" x14ac:dyDescent="0.25">
      <c r="T73" s="131">
        <v>109</v>
      </c>
      <c r="U73" s="48">
        <v>13.511071428571428</v>
      </c>
    </row>
    <row r="74" spans="20:21" x14ac:dyDescent="0.25">
      <c r="T74" s="122">
        <v>110</v>
      </c>
      <c r="U74" s="48">
        <v>13.614285714285714</v>
      </c>
    </row>
    <row r="75" spans="20:21" x14ac:dyDescent="0.25">
      <c r="T75" s="122">
        <v>111</v>
      </c>
      <c r="U75" s="48">
        <v>13.717499999999999</v>
      </c>
    </row>
    <row r="76" spans="20:21" x14ac:dyDescent="0.25">
      <c r="T76" s="131">
        <v>112</v>
      </c>
      <c r="U76" s="48">
        <v>13.820714285714285</v>
      </c>
    </row>
    <row r="77" spans="20:21" x14ac:dyDescent="0.25">
      <c r="T77" s="122">
        <v>113</v>
      </c>
      <c r="U77" s="48">
        <v>13.92392857142857</v>
      </c>
    </row>
    <row r="78" spans="20:21" x14ac:dyDescent="0.25">
      <c r="T78" s="122">
        <v>114</v>
      </c>
      <c r="U78" s="48">
        <v>14.027142857142856</v>
      </c>
    </row>
    <row r="79" spans="20:21" x14ac:dyDescent="0.25">
      <c r="T79" s="131">
        <v>115</v>
      </c>
      <c r="U79" s="48">
        <v>14.130357142857143</v>
      </c>
    </row>
    <row r="80" spans="20:21" x14ac:dyDescent="0.25">
      <c r="T80" s="122">
        <v>116</v>
      </c>
      <c r="U80" s="48">
        <v>14.233571428571427</v>
      </c>
    </row>
    <row r="81" spans="20:21" x14ac:dyDescent="0.25">
      <c r="T81" s="122">
        <v>117</v>
      </c>
      <c r="U81" s="48">
        <v>14.336785714285714</v>
      </c>
    </row>
    <row r="82" spans="20:21" x14ac:dyDescent="0.25">
      <c r="T82" s="131">
        <v>118</v>
      </c>
      <c r="U82" s="48">
        <v>14.44</v>
      </c>
    </row>
    <row r="83" spans="20:21" x14ac:dyDescent="0.25">
      <c r="T83" s="122">
        <v>119</v>
      </c>
      <c r="U83" s="48">
        <v>14.543214285714285</v>
      </c>
    </row>
    <row r="84" spans="20:21" x14ac:dyDescent="0.25">
      <c r="T84" s="122">
        <v>120</v>
      </c>
      <c r="U84" s="48">
        <v>14.64642857142857</v>
      </c>
    </row>
    <row r="85" spans="20:21" x14ac:dyDescent="0.25">
      <c r="T85" s="131">
        <v>121</v>
      </c>
      <c r="U85" s="48">
        <v>14.749642857142856</v>
      </c>
    </row>
    <row r="86" spans="20:21" x14ac:dyDescent="0.25">
      <c r="T86" s="122">
        <v>122</v>
      </c>
      <c r="U86" s="48">
        <v>14.852857142857141</v>
      </c>
    </row>
    <row r="87" spans="20:21" x14ac:dyDescent="0.25">
      <c r="T87" s="122">
        <v>123</v>
      </c>
      <c r="U87" s="48">
        <v>14.956071428571427</v>
      </c>
    </row>
    <row r="88" spans="20:21" x14ac:dyDescent="0.25">
      <c r="T88" s="131">
        <v>124</v>
      </c>
      <c r="U88" s="48">
        <v>15.059285714285714</v>
      </c>
    </row>
    <row r="89" spans="20:21" x14ac:dyDescent="0.25">
      <c r="T89" s="122">
        <v>125</v>
      </c>
      <c r="U89" s="48">
        <v>15.1625</v>
      </c>
    </row>
    <row r="90" spans="20:21" x14ac:dyDescent="0.25">
      <c r="T90" s="122">
        <v>126</v>
      </c>
      <c r="U90" s="48">
        <v>15.265714285714285</v>
      </c>
    </row>
    <row r="91" spans="20:21" x14ac:dyDescent="0.25">
      <c r="T91" s="131">
        <v>127</v>
      </c>
      <c r="U91" s="48">
        <v>15.368928571428571</v>
      </c>
    </row>
    <row r="92" spans="20:21" x14ac:dyDescent="0.25">
      <c r="T92" s="122">
        <v>128</v>
      </c>
      <c r="U92" s="48">
        <v>15.472142857142856</v>
      </c>
    </row>
    <row r="93" spans="20:21" x14ac:dyDescent="0.25">
      <c r="T93" s="122">
        <v>129</v>
      </c>
      <c r="U93" s="48">
        <v>15.575357142857142</v>
      </c>
    </row>
    <row r="94" spans="20:21" x14ac:dyDescent="0.25">
      <c r="T94" s="131">
        <v>130</v>
      </c>
      <c r="U94" s="48">
        <v>15.678571428571427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92"/>
  <sheetViews>
    <sheetView zoomScaleNormal="100" workbookViewId="0">
      <selection activeCell="T16" sqref="T16"/>
    </sheetView>
  </sheetViews>
  <sheetFormatPr defaultRowHeight="15" x14ac:dyDescent="0.25"/>
  <cols>
    <col min="2" max="2" width="32.28515625" bestFit="1" customWidth="1"/>
    <col min="3" max="4" width="12" bestFit="1" customWidth="1"/>
    <col min="5" max="5" width="11.7109375" customWidth="1"/>
    <col min="6" max="6" width="9.28515625" bestFit="1" customWidth="1"/>
    <col min="7" max="7" width="7.7109375" customWidth="1"/>
    <col min="8" max="8" width="6.7109375" style="54" customWidth="1"/>
    <col min="9" max="9" width="26" style="54" customWidth="1"/>
    <col min="10" max="10" width="11.7109375" style="54" customWidth="1"/>
    <col min="11" max="11" width="11.85546875" style="54" customWidth="1"/>
    <col min="12" max="12" width="10.5703125" style="54" bestFit="1" customWidth="1"/>
    <col min="13" max="13" width="9.28515625" style="122" bestFit="1" customWidth="1"/>
    <col min="14" max="14" width="7.28515625" customWidth="1"/>
    <col min="15" max="15" width="8" style="122" customWidth="1"/>
    <col min="16" max="16" width="26" customWidth="1"/>
    <col min="17" max="17" width="11.7109375" customWidth="1"/>
    <col min="18" max="18" width="11.85546875" customWidth="1"/>
    <col min="19" max="19" width="10.5703125" bestFit="1" customWidth="1"/>
    <col min="20" max="20" width="9.28515625" bestFit="1" customWidth="1"/>
    <col min="21" max="21" width="9.42578125" style="122" customWidth="1"/>
    <col min="23" max="23" width="26" customWidth="1"/>
    <col min="24" max="25" width="13.7109375" bestFit="1" customWidth="1"/>
    <col min="26" max="26" width="15.42578125" customWidth="1"/>
    <col min="27" max="27" width="10.85546875" customWidth="1"/>
    <col min="28" max="28" width="10.85546875" style="122" customWidth="1"/>
    <col min="29" max="29" width="9.85546875" customWidth="1"/>
    <col min="30" max="30" width="26" customWidth="1"/>
    <col min="31" max="32" width="13.7109375" bestFit="1" customWidth="1"/>
    <col min="33" max="33" width="15.7109375" customWidth="1"/>
    <col min="34" max="34" width="12.42578125" customWidth="1"/>
    <col min="36" max="48" width="0" hidden="1" customWidth="1"/>
  </cols>
  <sheetData>
    <row r="1" spans="1:35" s="56" customFormat="1" ht="15.75" x14ac:dyDescent="0.25">
      <c r="A1" s="296" t="s">
        <v>267</v>
      </c>
      <c r="B1" s="291"/>
      <c r="C1" s="291"/>
      <c r="D1" s="291"/>
      <c r="E1" s="291"/>
      <c r="F1" s="291"/>
      <c r="G1" s="291"/>
      <c r="H1" s="291"/>
      <c r="I1" s="291"/>
      <c r="J1" s="291"/>
      <c r="K1" s="291"/>
      <c r="L1" s="291"/>
      <c r="M1" s="122"/>
      <c r="N1" s="122"/>
      <c r="O1" s="122"/>
      <c r="P1" s="122"/>
      <c r="Q1" s="122"/>
      <c r="R1" s="122"/>
      <c r="S1" s="122"/>
      <c r="U1" s="122"/>
    </row>
    <row r="2" spans="1:35" s="56" customFormat="1" ht="18.75" x14ac:dyDescent="0.3">
      <c r="A2" s="291"/>
      <c r="B2" s="292" t="s">
        <v>119</v>
      </c>
      <c r="C2" s="293"/>
      <c r="D2" s="293"/>
      <c r="E2" s="293"/>
      <c r="F2" s="291"/>
      <c r="G2" s="291"/>
      <c r="H2" s="291"/>
      <c r="I2" s="291"/>
      <c r="J2" s="291"/>
      <c r="K2" s="291"/>
      <c r="L2" s="291"/>
      <c r="M2" s="122"/>
      <c r="N2" s="122"/>
      <c r="O2" s="122"/>
      <c r="P2" s="122"/>
      <c r="Q2" s="122"/>
      <c r="R2" s="122"/>
      <c r="S2" s="122"/>
      <c r="U2" s="122"/>
    </row>
    <row r="3" spans="1:35" s="56" customFormat="1" ht="18.75" x14ac:dyDescent="0.3">
      <c r="A3" s="291"/>
      <c r="B3" s="70"/>
      <c r="C3" s="375" t="s">
        <v>56</v>
      </c>
      <c r="D3" s="375"/>
      <c r="E3" s="376"/>
      <c r="F3" s="293"/>
      <c r="G3" s="293"/>
      <c r="H3" s="294"/>
      <c r="I3" s="294"/>
      <c r="J3" s="294"/>
      <c r="K3" s="294"/>
      <c r="L3" s="294"/>
      <c r="M3" s="122"/>
      <c r="N3" s="122"/>
      <c r="O3" s="122"/>
      <c r="P3" s="122"/>
      <c r="Q3" s="122"/>
      <c r="R3" s="122"/>
      <c r="S3" s="122"/>
      <c r="U3" s="122"/>
    </row>
    <row r="4" spans="1:35" x14ac:dyDescent="0.25">
      <c r="A4" s="291"/>
      <c r="B4" s="290"/>
      <c r="C4" s="440">
        <v>1</v>
      </c>
      <c r="D4" s="424"/>
      <c r="E4" s="424"/>
      <c r="F4" s="294"/>
      <c r="G4" s="294"/>
      <c r="H4" s="294"/>
      <c r="I4" s="78" t="s">
        <v>109</v>
      </c>
      <c r="J4" s="65"/>
      <c r="K4" s="66"/>
      <c r="L4" s="294"/>
      <c r="N4" s="122"/>
      <c r="P4" s="122"/>
      <c r="Q4" s="122"/>
      <c r="R4" s="122"/>
      <c r="S4" s="122"/>
    </row>
    <row r="5" spans="1:35" x14ac:dyDescent="0.25">
      <c r="A5" s="291"/>
      <c r="B5" s="290" t="s">
        <v>51</v>
      </c>
      <c r="C5" s="71" t="s">
        <v>53</v>
      </c>
      <c r="D5" s="67" t="s">
        <v>54</v>
      </c>
      <c r="E5" s="68" t="s">
        <v>55</v>
      </c>
      <c r="F5" s="294"/>
      <c r="G5" s="294"/>
      <c r="H5" s="294"/>
      <c r="I5" s="61" t="s">
        <v>61</v>
      </c>
      <c r="J5" s="44">
        <v>0.6</v>
      </c>
      <c r="K5" s="53"/>
      <c r="L5" s="294"/>
      <c r="N5" s="122"/>
      <c r="P5" s="122"/>
      <c r="Q5" s="122"/>
      <c r="R5" s="122"/>
      <c r="S5" s="122"/>
    </row>
    <row r="6" spans="1:35" s="56" customFormat="1" x14ac:dyDescent="0.25">
      <c r="A6" s="291"/>
      <c r="B6" s="72" t="s">
        <v>44</v>
      </c>
      <c r="C6" s="58">
        <v>0.25</v>
      </c>
      <c r="D6" s="59">
        <v>0.25</v>
      </c>
      <c r="E6" s="60">
        <v>0</v>
      </c>
      <c r="F6" s="294"/>
      <c r="G6" s="294"/>
      <c r="H6" s="294"/>
      <c r="I6" s="61" t="s">
        <v>62</v>
      </c>
      <c r="J6" s="48">
        <v>1</v>
      </c>
      <c r="K6" s="53"/>
      <c r="L6" s="294"/>
      <c r="M6" s="122"/>
      <c r="N6" s="122"/>
      <c r="O6" s="122"/>
      <c r="P6" s="122"/>
      <c r="Q6" s="122"/>
      <c r="R6" s="122"/>
      <c r="S6" s="122"/>
      <c r="U6" s="122"/>
    </row>
    <row r="7" spans="1:35" s="56" customFormat="1" x14ac:dyDescent="0.25">
      <c r="A7" s="291"/>
      <c r="B7" s="72" t="s">
        <v>46</v>
      </c>
      <c r="C7" s="75">
        <v>0.5</v>
      </c>
      <c r="D7" s="62">
        <v>0.5</v>
      </c>
      <c r="E7" s="53">
        <v>0</v>
      </c>
      <c r="F7" s="294"/>
      <c r="G7" s="294"/>
      <c r="H7" s="294"/>
      <c r="I7" s="63" t="s">
        <v>63</v>
      </c>
      <c r="J7" s="52">
        <v>0.2</v>
      </c>
      <c r="K7" s="64"/>
      <c r="L7" s="294"/>
      <c r="M7" s="122"/>
      <c r="N7" s="122"/>
      <c r="O7" s="122"/>
      <c r="P7" s="122"/>
      <c r="Q7" s="122"/>
      <c r="R7" s="122"/>
      <c r="S7" s="122"/>
      <c r="U7" s="122"/>
    </row>
    <row r="8" spans="1:35" s="56" customFormat="1" x14ac:dyDescent="0.25">
      <c r="A8" s="291"/>
      <c r="B8" s="72" t="s">
        <v>45</v>
      </c>
      <c r="C8" s="61">
        <v>0.75</v>
      </c>
      <c r="D8" s="131">
        <v>0.75</v>
      </c>
      <c r="E8" s="53">
        <v>0</v>
      </c>
      <c r="F8" s="294"/>
      <c r="G8" s="294"/>
      <c r="H8" s="294"/>
      <c r="I8" s="294"/>
      <c r="J8" s="294"/>
      <c r="K8" s="294"/>
      <c r="L8" s="294"/>
      <c r="M8" s="122"/>
      <c r="N8" s="122"/>
      <c r="O8" s="122"/>
      <c r="P8" s="122"/>
      <c r="Q8" s="122"/>
      <c r="R8" s="122"/>
      <c r="S8" s="122"/>
      <c r="U8" s="122"/>
    </row>
    <row r="9" spans="1:35" s="54" customFormat="1" x14ac:dyDescent="0.25">
      <c r="A9" s="291"/>
      <c r="B9" s="69" t="s">
        <v>52</v>
      </c>
      <c r="C9" s="61"/>
      <c r="D9" s="131"/>
      <c r="E9" s="53"/>
      <c r="F9" s="294"/>
      <c r="G9" s="294"/>
      <c r="H9" s="294"/>
      <c r="I9" s="173"/>
      <c r="J9" s="171" t="s">
        <v>235</v>
      </c>
      <c r="K9" s="294"/>
      <c r="L9" s="294"/>
      <c r="M9" s="122"/>
      <c r="N9" s="122"/>
      <c r="O9" s="122"/>
      <c r="P9" s="168"/>
      <c r="Q9" s="122"/>
      <c r="R9" s="122"/>
      <c r="S9" s="122"/>
      <c r="U9" s="122"/>
    </row>
    <row r="10" spans="1:35" s="54" customFormat="1" x14ac:dyDescent="0.25">
      <c r="A10" s="291"/>
      <c r="B10" s="73" t="s">
        <v>47</v>
      </c>
      <c r="C10" s="76">
        <v>1</v>
      </c>
      <c r="D10" s="131">
        <v>0.8</v>
      </c>
      <c r="E10" s="53">
        <v>0.8</v>
      </c>
      <c r="F10" s="294"/>
      <c r="G10" s="294"/>
      <c r="H10" s="294"/>
      <c r="I10" s="173" t="s">
        <v>227</v>
      </c>
      <c r="J10" s="91">
        <v>1.5</v>
      </c>
      <c r="K10" s="294"/>
      <c r="L10" s="294"/>
      <c r="M10" s="122"/>
      <c r="N10" s="122"/>
      <c r="O10" s="122"/>
      <c r="P10" s="122"/>
      <c r="Q10" s="122"/>
      <c r="R10" s="122"/>
      <c r="S10" s="122"/>
      <c r="U10" s="122"/>
    </row>
    <row r="11" spans="1:35" s="54" customFormat="1" x14ac:dyDescent="0.25">
      <c r="A11" s="291"/>
      <c r="B11" s="72" t="s">
        <v>48</v>
      </c>
      <c r="C11" s="61">
        <v>1.4</v>
      </c>
      <c r="D11" s="48">
        <v>1</v>
      </c>
      <c r="E11" s="77">
        <v>1</v>
      </c>
      <c r="F11" s="294"/>
      <c r="G11" s="294"/>
      <c r="H11" s="294"/>
      <c r="I11" s="294"/>
      <c r="J11" s="294"/>
      <c r="K11" s="294"/>
      <c r="L11" s="294"/>
      <c r="M11" s="122"/>
      <c r="N11" s="122"/>
      <c r="O11" s="122"/>
      <c r="P11" s="122"/>
      <c r="Q11" s="122"/>
      <c r="R11" s="122"/>
      <c r="S11" s="122"/>
      <c r="U11" s="122"/>
    </row>
    <row r="12" spans="1:35" s="54" customFormat="1" x14ac:dyDescent="0.25">
      <c r="A12" s="291"/>
      <c r="B12" s="72" t="s">
        <v>49</v>
      </c>
      <c r="C12" s="61">
        <v>1.3</v>
      </c>
      <c r="D12" s="131">
        <v>1.1000000000000001</v>
      </c>
      <c r="E12" s="53">
        <v>1.1000000000000001</v>
      </c>
      <c r="F12" s="294"/>
      <c r="G12" s="294"/>
      <c r="H12" s="294"/>
      <c r="I12" s="294"/>
      <c r="J12" s="294"/>
      <c r="K12" s="294"/>
      <c r="L12" s="294"/>
      <c r="M12" s="122"/>
      <c r="N12" s="122"/>
      <c r="O12" s="122"/>
      <c r="P12" s="122"/>
      <c r="Q12" s="122"/>
      <c r="R12" s="122"/>
      <c r="S12" s="122"/>
      <c r="U12" s="122"/>
    </row>
    <row r="13" spans="1:35" s="28" customFormat="1" x14ac:dyDescent="0.25">
      <c r="A13" s="291"/>
      <c r="B13" s="72" t="s">
        <v>50</v>
      </c>
      <c r="C13" s="61">
        <v>1.7</v>
      </c>
      <c r="D13" s="131">
        <v>1.3</v>
      </c>
      <c r="E13" s="53">
        <v>1.3</v>
      </c>
      <c r="F13" s="294"/>
      <c r="G13" s="294"/>
      <c r="H13" s="294"/>
      <c r="I13" s="294"/>
      <c r="J13" s="294"/>
      <c r="K13" s="294"/>
      <c r="L13" s="294"/>
      <c r="M13" s="122"/>
      <c r="O13" s="122"/>
      <c r="P13" s="122"/>
      <c r="Q13" s="122"/>
      <c r="R13" s="122"/>
      <c r="S13" s="122"/>
      <c r="U13" s="122"/>
      <c r="V13" s="122"/>
    </row>
    <row r="14" spans="1:35" x14ac:dyDescent="0.25">
      <c r="A14" s="291"/>
      <c r="B14" s="74" t="s">
        <v>238</v>
      </c>
      <c r="C14" s="340">
        <v>2</v>
      </c>
      <c r="D14" s="207"/>
      <c r="E14" s="204"/>
      <c r="F14" s="294"/>
      <c r="G14" s="294"/>
      <c r="H14" s="294"/>
      <c r="I14" s="294"/>
      <c r="J14" s="294"/>
      <c r="K14" s="294"/>
      <c r="L14" s="294"/>
      <c r="N14" s="122"/>
      <c r="P14" s="122"/>
      <c r="Q14" s="122"/>
      <c r="R14" s="122"/>
      <c r="S14" s="122"/>
      <c r="V14" s="122"/>
    </row>
    <row r="15" spans="1:35" s="56" customFormat="1" x14ac:dyDescent="0.25">
      <c r="A15" s="291"/>
      <c r="B15" s="291"/>
      <c r="C15" s="291"/>
      <c r="D15" s="291"/>
      <c r="E15" s="291"/>
      <c r="F15" s="291"/>
      <c r="G15" s="291"/>
      <c r="H15" s="291"/>
      <c r="I15" s="291"/>
      <c r="J15" s="291"/>
      <c r="K15" s="291"/>
      <c r="L15" s="291"/>
      <c r="M15" s="122"/>
      <c r="N15" s="122"/>
      <c r="O15" s="122"/>
      <c r="P15" s="122"/>
      <c r="Q15" s="122"/>
      <c r="R15" s="122"/>
      <c r="S15" s="122"/>
      <c r="U15" s="122"/>
      <c r="V15" s="122"/>
      <c r="W15" s="122"/>
      <c r="X15" s="122"/>
      <c r="Y15" s="122"/>
      <c r="Z15" s="122"/>
      <c r="AA15" s="122"/>
      <c r="AB15" s="122"/>
      <c r="AC15" s="122"/>
      <c r="AD15" s="122"/>
      <c r="AE15" s="122"/>
      <c r="AF15" s="122"/>
      <c r="AG15" s="122"/>
    </row>
    <row r="16" spans="1:35" s="56" customFormat="1" x14ac:dyDescent="0.25">
      <c r="M16" s="122"/>
      <c r="N16" s="122"/>
      <c r="O16" s="122"/>
      <c r="P16" s="122"/>
      <c r="Q16" s="122"/>
      <c r="R16" s="122"/>
      <c r="S16" s="122"/>
      <c r="U16" s="122"/>
      <c r="V16" s="9"/>
      <c r="W16" s="9"/>
      <c r="X16" s="9"/>
      <c r="Y16" s="9"/>
      <c r="Z16" s="9"/>
      <c r="AA16" s="9"/>
      <c r="AB16" s="9"/>
      <c r="AC16" s="9"/>
      <c r="AD16" s="9"/>
      <c r="AE16" s="9"/>
      <c r="AF16" s="9"/>
      <c r="AG16" s="9"/>
      <c r="AH16" s="9"/>
      <c r="AI16" s="9"/>
    </row>
    <row r="17" spans="1:49" x14ac:dyDescent="0.25">
      <c r="V17" s="9"/>
      <c r="W17" s="405" t="s">
        <v>224</v>
      </c>
      <c r="X17" s="9"/>
      <c r="Y17" s="9"/>
      <c r="Z17" s="9"/>
      <c r="AA17" s="9"/>
      <c r="AB17" s="9"/>
      <c r="AC17" s="9"/>
      <c r="AD17" s="405" t="s">
        <v>224</v>
      </c>
      <c r="AE17" s="9"/>
      <c r="AF17" s="9"/>
      <c r="AG17" s="9"/>
      <c r="AH17" s="9"/>
      <c r="AI17" s="9"/>
    </row>
    <row r="18" spans="1:49" s="117" customFormat="1" x14ac:dyDescent="0.25">
      <c r="A18"/>
      <c r="B18" s="181" t="s">
        <v>141</v>
      </c>
      <c r="C18" s="183"/>
      <c r="D18" s="183"/>
      <c r="E18" s="183"/>
      <c r="F18" s="183"/>
      <c r="G18" s="183"/>
      <c r="H18" s="183"/>
      <c r="I18" s="181" t="s">
        <v>285</v>
      </c>
      <c r="J18" s="183"/>
      <c r="K18" s="183"/>
      <c r="L18" s="183"/>
      <c r="M18" s="183"/>
      <c r="N18" s="183"/>
      <c r="O18" s="183"/>
      <c r="P18" s="181" t="s">
        <v>286</v>
      </c>
      <c r="Q18" s="183"/>
      <c r="R18" s="183"/>
      <c r="S18" s="122"/>
      <c r="U18" s="122"/>
      <c r="V18" s="9"/>
      <c r="W18" s="405" t="s">
        <v>225</v>
      </c>
      <c r="X18" s="9"/>
      <c r="Y18" s="9"/>
      <c r="Z18" s="9"/>
      <c r="AA18" s="9"/>
      <c r="AB18" s="9"/>
      <c r="AC18" s="9"/>
      <c r="AD18" s="405" t="s">
        <v>226</v>
      </c>
      <c r="AE18" s="9"/>
      <c r="AF18" s="9"/>
      <c r="AG18" s="9"/>
      <c r="AH18" s="9"/>
      <c r="AI18" s="9"/>
    </row>
    <row r="19" spans="1:49" s="117" customFormat="1" x14ac:dyDescent="0.25">
      <c r="B19" s="181"/>
      <c r="C19" s="183"/>
      <c r="D19" s="183"/>
      <c r="E19" s="183"/>
      <c r="F19" s="183"/>
      <c r="G19" s="183"/>
      <c r="H19" s="183"/>
      <c r="I19" s="181"/>
      <c r="J19" s="183"/>
      <c r="K19" s="183"/>
      <c r="L19" s="183"/>
      <c r="M19" s="183"/>
      <c r="N19" s="183"/>
      <c r="O19" s="183"/>
      <c r="P19" s="181" t="s">
        <v>287</v>
      </c>
      <c r="Q19" s="183"/>
      <c r="R19" s="183"/>
      <c r="S19" s="122"/>
      <c r="U19" s="122"/>
      <c r="V19" s="9"/>
      <c r="W19" s="9"/>
      <c r="X19" s="9"/>
      <c r="Y19" s="9"/>
      <c r="Z19" s="9"/>
      <c r="AA19" s="9"/>
      <c r="AB19" s="9"/>
      <c r="AC19" s="9"/>
      <c r="AD19" s="9"/>
      <c r="AE19" s="9"/>
      <c r="AF19" s="9"/>
      <c r="AG19" s="9"/>
      <c r="AH19" s="9"/>
      <c r="AI19" s="9"/>
      <c r="AJ19" s="122"/>
    </row>
    <row r="20" spans="1:49" s="117" customFormat="1" x14ac:dyDescent="0.25">
      <c r="B20" s="89" t="s">
        <v>59</v>
      </c>
      <c r="C20" s="92">
        <f>Lähtötiedot!C8</f>
        <v>0</v>
      </c>
      <c r="D20" s="54"/>
      <c r="I20" s="89" t="s">
        <v>59</v>
      </c>
      <c r="J20" s="146" t="e">
        <f ca="1">Lähtötiedot!G8</f>
        <v>#N/A</v>
      </c>
      <c r="M20" s="122"/>
      <c r="O20" s="122"/>
      <c r="P20" s="89" t="s">
        <v>59</v>
      </c>
      <c r="Q20" s="146" t="e">
        <f ca="1">Lähtötiedot!K8</f>
        <v>#N/A</v>
      </c>
      <c r="R20" s="122"/>
      <c r="S20" s="122"/>
      <c r="U20" s="122"/>
      <c r="V20" s="9"/>
      <c r="W20" s="9"/>
      <c r="X20" s="9"/>
      <c r="Y20" s="9"/>
      <c r="Z20" s="9"/>
      <c r="AA20" s="9"/>
      <c r="AB20" s="9"/>
      <c r="AC20" s="9"/>
      <c r="AD20" s="9"/>
      <c r="AE20" s="9"/>
      <c r="AF20" s="9"/>
      <c r="AG20" s="9"/>
      <c r="AH20" s="9"/>
      <c r="AI20" s="9"/>
    </row>
    <row r="21" spans="1:49" s="117" customFormat="1" x14ac:dyDescent="0.25">
      <c r="B21" s="122"/>
      <c r="C21" s="122"/>
      <c r="D21" s="122"/>
      <c r="E21" s="122"/>
      <c r="F21" s="122"/>
      <c r="G21" s="122"/>
      <c r="H21" s="122"/>
      <c r="I21" s="122"/>
      <c r="J21" s="122"/>
      <c r="K21" s="122"/>
      <c r="M21" s="122"/>
      <c r="O21" s="122"/>
      <c r="P21" s="122"/>
      <c r="Q21" s="122"/>
      <c r="R21" s="122"/>
      <c r="S21" s="122"/>
      <c r="U21" s="122"/>
      <c r="V21" s="9"/>
      <c r="W21" s="406" t="s">
        <v>121</v>
      </c>
      <c r="X21" s="414">
        <v>0</v>
      </c>
      <c r="Y21" s="9"/>
      <c r="Z21" s="9"/>
      <c r="AA21" s="9"/>
      <c r="AB21" s="9"/>
      <c r="AC21" s="9"/>
      <c r="AD21" s="406" t="s">
        <v>121</v>
      </c>
      <c r="AE21" s="414"/>
      <c r="AF21" s="9"/>
      <c r="AG21" s="9"/>
      <c r="AH21" s="9"/>
      <c r="AI21" s="9"/>
      <c r="AK21" s="122"/>
      <c r="AL21" s="122"/>
      <c r="AM21" s="122"/>
      <c r="AN21" s="122"/>
      <c r="AO21" s="122"/>
      <c r="AP21" s="122"/>
      <c r="AQ21" s="122"/>
      <c r="AR21" s="122"/>
      <c r="AS21" s="122"/>
      <c r="AT21" s="122"/>
      <c r="AU21" s="122"/>
      <c r="AV21" s="122"/>
    </row>
    <row r="22" spans="1:49" s="117" customFormat="1" x14ac:dyDescent="0.25">
      <c r="B22" s="122"/>
      <c r="C22" s="122"/>
      <c r="D22" s="122"/>
      <c r="E22" s="122"/>
      <c r="F22" s="122"/>
      <c r="G22" s="122"/>
      <c r="H22" s="122"/>
      <c r="I22" s="122"/>
      <c r="J22" s="122"/>
      <c r="K22" s="122"/>
      <c r="M22" s="122"/>
      <c r="O22" s="122"/>
      <c r="P22" s="122"/>
      <c r="Q22" s="122"/>
      <c r="R22" s="122"/>
      <c r="S22" s="122"/>
      <c r="U22" s="122"/>
      <c r="V22" s="9"/>
      <c r="W22" s="510"/>
      <c r="X22" s="467" t="s">
        <v>101</v>
      </c>
      <c r="Y22" s="468"/>
      <c r="Z22" s="453" t="s">
        <v>258</v>
      </c>
      <c r="AA22" s="511"/>
      <c r="AB22" s="9"/>
      <c r="AC22" s="9"/>
      <c r="AD22" s="510"/>
      <c r="AE22" s="467" t="s">
        <v>101</v>
      </c>
      <c r="AF22" s="468"/>
      <c r="AG22" s="453" t="s">
        <v>258</v>
      </c>
      <c r="AH22" s="511"/>
      <c r="AI22" s="9"/>
      <c r="AK22" s="272" t="s">
        <v>59</v>
      </c>
      <c r="AL22" s="273">
        <f>Lähtötiedot!O8</f>
        <v>0</v>
      </c>
      <c r="AM22" s="274"/>
      <c r="AN22" s="274"/>
      <c r="AO22" s="122"/>
      <c r="AP22" s="122"/>
      <c r="AQ22" s="122"/>
      <c r="AR22" s="268" t="s">
        <v>59</v>
      </c>
      <c r="AS22" s="269">
        <f>Lähtötiedot!S8</f>
        <v>0</v>
      </c>
      <c r="AT22" s="122"/>
      <c r="AU22" s="122"/>
      <c r="AV22" s="122"/>
      <c r="AW22" s="122"/>
    </row>
    <row r="23" spans="1:49" x14ac:dyDescent="0.25">
      <c r="E23" s="374" t="s">
        <v>120</v>
      </c>
      <c r="F23" s="374"/>
      <c r="L23" s="374" t="s">
        <v>120</v>
      </c>
      <c r="M23" s="374"/>
      <c r="S23" s="374" t="s">
        <v>120</v>
      </c>
      <c r="T23" s="374"/>
      <c r="V23" s="9"/>
      <c r="W23" s="512"/>
      <c r="X23" s="513" t="s">
        <v>252</v>
      </c>
      <c r="Y23" s="514" t="s">
        <v>253</v>
      </c>
      <c r="Z23" s="406" t="s">
        <v>257</v>
      </c>
      <c r="AA23" s="514" t="s">
        <v>256</v>
      </c>
      <c r="AB23" s="9"/>
      <c r="AC23" s="9"/>
      <c r="AD23" s="512"/>
      <c r="AE23" s="498" t="s">
        <v>252</v>
      </c>
      <c r="AF23" s="514" t="s">
        <v>253</v>
      </c>
      <c r="AG23" s="406" t="s">
        <v>257</v>
      </c>
      <c r="AH23" s="514" t="s">
        <v>256</v>
      </c>
      <c r="AI23" s="9"/>
      <c r="AK23" s="274"/>
      <c r="AL23" s="274"/>
      <c r="AM23" s="274"/>
      <c r="AN23" s="274"/>
      <c r="AO23" s="122"/>
      <c r="AP23" s="122"/>
      <c r="AQ23" s="122"/>
      <c r="AR23" s="122"/>
      <c r="AS23" s="122"/>
      <c r="AT23" s="122"/>
      <c r="AU23" s="122"/>
      <c r="AV23" s="122"/>
      <c r="AW23" s="122"/>
    </row>
    <row r="24" spans="1:49" x14ac:dyDescent="0.25">
      <c r="B24" s="80"/>
      <c r="C24" s="81" t="s">
        <v>1</v>
      </c>
      <c r="D24" s="81" t="s">
        <v>110</v>
      </c>
      <c r="E24" s="80" t="s">
        <v>252</v>
      </c>
      <c r="F24" s="82" t="s">
        <v>253</v>
      </c>
      <c r="G24" s="54"/>
      <c r="I24" s="80"/>
      <c r="J24" s="81" t="s">
        <v>1</v>
      </c>
      <c r="K24" s="81" t="s">
        <v>110</v>
      </c>
      <c r="L24" s="80" t="s">
        <v>252</v>
      </c>
      <c r="M24" s="82" t="s">
        <v>253</v>
      </c>
      <c r="P24" s="80"/>
      <c r="Q24" s="81" t="s">
        <v>1</v>
      </c>
      <c r="R24" s="156" t="s">
        <v>110</v>
      </c>
      <c r="S24" s="80" t="s">
        <v>252</v>
      </c>
      <c r="T24" s="82" t="s">
        <v>253</v>
      </c>
      <c r="V24" s="9"/>
      <c r="W24" s="515" t="s">
        <v>111</v>
      </c>
      <c r="X24" s="516" t="e">
        <f t="shared" ref="X24:Y30" si="0">E25</f>
        <v>#DIV/0!</v>
      </c>
      <c r="Y24" s="517">
        <f t="shared" si="0"/>
        <v>0</v>
      </c>
      <c r="Z24" s="518">
        <f>Y24</f>
        <v>0</v>
      </c>
      <c r="AA24" s="517">
        <f>Y24-Z24</f>
        <v>0</v>
      </c>
      <c r="AB24" s="9"/>
      <c r="AC24" s="9"/>
      <c r="AD24" s="510" t="s">
        <v>111</v>
      </c>
      <c r="AE24" s="516">
        <f>C20*0.6*D25</f>
        <v>0</v>
      </c>
      <c r="AF24" s="517">
        <f t="shared" ref="AF24:AF29" si="1">Y24</f>
        <v>0</v>
      </c>
      <c r="AG24" s="518">
        <f>Z21</f>
        <v>0</v>
      </c>
      <c r="AH24" s="517">
        <f>AF24-AG24</f>
        <v>0</v>
      </c>
      <c r="AI24" s="9"/>
      <c r="AK24" s="275"/>
      <c r="AL24" s="276" t="s">
        <v>1</v>
      </c>
      <c r="AM24" s="277" t="s">
        <v>110</v>
      </c>
      <c r="AN24" s="278" t="s">
        <v>120</v>
      </c>
      <c r="AO24" s="122"/>
      <c r="AP24" s="122"/>
      <c r="AQ24" s="122"/>
      <c r="AR24" s="270"/>
      <c r="AS24" s="81" t="s">
        <v>1</v>
      </c>
      <c r="AT24" s="156" t="s">
        <v>110</v>
      </c>
      <c r="AU24" s="271" t="s">
        <v>120</v>
      </c>
      <c r="AV24" s="122"/>
      <c r="AW24" s="122"/>
    </row>
    <row r="25" spans="1:49" s="54" customFormat="1" x14ac:dyDescent="0.25">
      <c r="B25" s="83" t="s">
        <v>238</v>
      </c>
      <c r="C25" s="88" t="e">
        <f>ROUND(C20/Lähtötiedot!C22,0)</f>
        <v>#DIV/0!</v>
      </c>
      <c r="D25" s="168">
        <f>C14</f>
        <v>2</v>
      </c>
      <c r="E25" s="76" t="e">
        <f t="shared" ref="E25:E30" si="2">C25*D25</f>
        <v>#DIV/0!</v>
      </c>
      <c r="F25" s="77"/>
      <c r="G25" s="38"/>
      <c r="I25" s="83" t="s">
        <v>111</v>
      </c>
      <c r="J25" s="86" t="e">
        <f ca="1">ROUND(J20/Lähtötiedot!G22,0)</f>
        <v>#N/A</v>
      </c>
      <c r="K25" s="62">
        <f>D25</f>
        <v>2</v>
      </c>
      <c r="L25" s="76" t="e">
        <f t="shared" ref="L25:L26" ca="1" si="3">J25*K25</f>
        <v>#N/A</v>
      </c>
      <c r="M25" s="77"/>
      <c r="N25"/>
      <c r="O25" s="122"/>
      <c r="P25" s="83" t="s">
        <v>111</v>
      </c>
      <c r="Q25" s="86" t="e">
        <f ca="1">ROUND(Q20*0.6,0)</f>
        <v>#N/A</v>
      </c>
      <c r="R25" s="155">
        <f>D25</f>
        <v>2</v>
      </c>
      <c r="S25" s="76" t="e">
        <f t="shared" ref="S25:S26" ca="1" si="4">Q25*R25</f>
        <v>#N/A</v>
      </c>
      <c r="T25" s="77"/>
      <c r="U25" s="122"/>
      <c r="V25" s="9"/>
      <c r="W25" s="515" t="s">
        <v>115</v>
      </c>
      <c r="X25" s="516" t="e">
        <f t="shared" si="0"/>
        <v>#DIV/0!</v>
      </c>
      <c r="Y25" s="517" t="e">
        <f t="shared" si="0"/>
        <v>#DIV/0!</v>
      </c>
      <c r="Z25" s="518">
        <f>D26*Lähtötiedot!O8</f>
        <v>0</v>
      </c>
      <c r="AA25" s="517" t="e">
        <f t="shared" ref="AA25:AA29" si="5">Y25-Z25</f>
        <v>#DIV/0!</v>
      </c>
      <c r="AB25" s="9"/>
      <c r="AC25" s="9"/>
      <c r="AD25" s="515" t="s">
        <v>115</v>
      </c>
      <c r="AE25" s="516">
        <f>C20*0.4*D26</f>
        <v>0</v>
      </c>
      <c r="AF25" s="517" t="e">
        <f t="shared" si="1"/>
        <v>#DIV/0!</v>
      </c>
      <c r="AG25" s="518">
        <f>D26*Lähtötiedot!S8</f>
        <v>0</v>
      </c>
      <c r="AH25" s="517" t="e">
        <f t="shared" ref="AH25:AH29" si="6">AF25-AG25</f>
        <v>#DIV/0!</v>
      </c>
      <c r="AI25" s="9"/>
      <c r="AK25" s="279" t="s">
        <v>111</v>
      </c>
      <c r="AL25" s="86"/>
      <c r="AM25" s="280">
        <f>D25</f>
        <v>2</v>
      </c>
      <c r="AN25" s="118">
        <f t="shared" ref="AN25:AN30" si="7">AL25*AM25</f>
        <v>0</v>
      </c>
      <c r="AO25" s="122"/>
      <c r="AP25" s="122"/>
      <c r="AQ25" s="122"/>
      <c r="AR25" s="83" t="s">
        <v>111</v>
      </c>
      <c r="AS25" s="86"/>
      <c r="AT25" s="155">
        <f>D25</f>
        <v>2</v>
      </c>
      <c r="AU25" s="118">
        <f>AS25*AT25</f>
        <v>0</v>
      </c>
      <c r="AV25" s="122"/>
      <c r="AW25" s="122"/>
    </row>
    <row r="26" spans="1:49" x14ac:dyDescent="0.25">
      <c r="B26" s="84" t="s">
        <v>115</v>
      </c>
      <c r="C26" s="88" t="e">
        <f>C20-C25</f>
        <v>#DIV/0!</v>
      </c>
      <c r="D26" s="168">
        <f>(IF(C4=1,IF(Ruokinta!H12&lt;75,C10,C11),IF(C4=2,IF(Ruokinta!H12&lt;75,D10,D11),IF(C4=3,IF(Ruokinta!H12&lt;75,D10,D11)))))</f>
        <v>1</v>
      </c>
      <c r="E26" s="76" t="e">
        <f t="shared" si="2"/>
        <v>#DIV/0!</v>
      </c>
      <c r="F26" s="77" t="e">
        <f>(C25+C26)*D26</f>
        <v>#DIV/0!</v>
      </c>
      <c r="G26" s="38"/>
      <c r="I26" s="84" t="s">
        <v>115</v>
      </c>
      <c r="J26" s="88" t="e">
        <f ca="1">ROUND(J20-J25,0)</f>
        <v>#N/A</v>
      </c>
      <c r="K26" s="62">
        <f t="shared" ref="K26:K29" si="8">D26</f>
        <v>1</v>
      </c>
      <c r="L26" s="76" t="e">
        <f t="shared" ca="1" si="3"/>
        <v>#N/A</v>
      </c>
      <c r="M26" s="77" t="e">
        <f ca="1">(J25+J26)*K26</f>
        <v>#N/A</v>
      </c>
      <c r="N26" s="54"/>
      <c r="P26" s="84" t="s">
        <v>115</v>
      </c>
      <c r="Q26" s="88" t="e">
        <f ca="1">Q20-Q25</f>
        <v>#N/A</v>
      </c>
      <c r="R26" s="62">
        <f t="shared" ref="R26:R29" si="9">D26</f>
        <v>1</v>
      </c>
      <c r="S26" s="76" t="e">
        <f t="shared" ca="1" si="4"/>
        <v>#N/A</v>
      </c>
      <c r="T26" s="77" t="e">
        <f ca="1">(Q25+Q26)*R26</f>
        <v>#N/A</v>
      </c>
      <c r="V26" s="9"/>
      <c r="W26" s="515" t="s">
        <v>182</v>
      </c>
      <c r="X26" s="516">
        <f t="shared" si="0"/>
        <v>0</v>
      </c>
      <c r="Y26" s="517" t="e">
        <f t="shared" si="0"/>
        <v>#DIV/0!</v>
      </c>
      <c r="Z26" s="518" t="e">
        <f ca="1">D27*Lähtötiedot!O17/Lähtötiedot!O22</f>
        <v>#N/A</v>
      </c>
      <c r="AA26" s="517" t="e">
        <f t="shared" ca="1" si="5"/>
        <v>#DIV/0!</v>
      </c>
      <c r="AB26" s="9"/>
      <c r="AC26" s="9"/>
      <c r="AD26" s="515" t="s">
        <v>182</v>
      </c>
      <c r="AE26" s="516">
        <f>X26</f>
        <v>0</v>
      </c>
      <c r="AF26" s="517" t="e">
        <f t="shared" si="1"/>
        <v>#DIV/0!</v>
      </c>
      <c r="AG26" s="518" t="e">
        <f ca="1">D27*Lähtötiedot!T17/Lähtötiedot!S22</f>
        <v>#N/A</v>
      </c>
      <c r="AH26" s="517" t="e">
        <f t="shared" ca="1" si="6"/>
        <v>#DIV/0!</v>
      </c>
      <c r="AI26" s="9"/>
      <c r="AK26" s="281" t="s">
        <v>115</v>
      </c>
      <c r="AL26" s="88">
        <f>AL22</f>
        <v>0</v>
      </c>
      <c r="AM26" s="282">
        <f>D26</f>
        <v>1</v>
      </c>
      <c r="AN26" s="77">
        <f t="shared" si="7"/>
        <v>0</v>
      </c>
      <c r="AO26" s="122"/>
      <c r="AP26" s="122"/>
      <c r="AQ26" s="122"/>
      <c r="AR26" s="84" t="s">
        <v>115</v>
      </c>
      <c r="AS26" s="88">
        <f>Lähtötiedot!S8</f>
        <v>0</v>
      </c>
      <c r="AT26" s="62">
        <f>D26</f>
        <v>1</v>
      </c>
      <c r="AU26" s="77">
        <f t="shared" ref="AU26:AU29" si="10">AS26*AT26</f>
        <v>0</v>
      </c>
      <c r="AV26" s="122"/>
      <c r="AW26" s="122"/>
    </row>
    <row r="27" spans="1:49" x14ac:dyDescent="0.25">
      <c r="B27" s="84" t="s">
        <v>182</v>
      </c>
      <c r="C27" s="88" t="e">
        <f>(Lähtötiedot!C17+Lähtötiedot!C19)*'Tilan tarve'!C25/'Tilan tarve'!C20</f>
        <v>#DIV/0!</v>
      </c>
      <c r="D27" s="168">
        <f>IF(Ruokinta!D36&lt;=30,'Tilan tarve'!C7,'Tilan tarve'!C8)</f>
        <v>0.5</v>
      </c>
      <c r="E27" s="76"/>
      <c r="F27" s="77" t="e">
        <f>C27*D27</f>
        <v>#DIV/0!</v>
      </c>
      <c r="G27" s="54"/>
      <c r="I27" s="84" t="s">
        <v>182</v>
      </c>
      <c r="J27" s="88" t="e">
        <f ca="1">(Lähtötiedot!G17+Lähtötiedot!G19)*'Tilan tarve'!J25/'Tilan tarve'!J20</f>
        <v>#DIV/0!</v>
      </c>
      <c r="K27" s="62">
        <f t="shared" si="8"/>
        <v>0.5</v>
      </c>
      <c r="L27" s="76"/>
      <c r="M27" s="77" t="e">
        <f ca="1">J27*K27</f>
        <v>#DIV/0!</v>
      </c>
      <c r="P27" s="84" t="s">
        <v>182</v>
      </c>
      <c r="Q27" s="88" t="e">
        <f ca="1">(Lähtötiedot!K17+Lähtötiedot!K19)*'Tilan tarve'!Q25/'Tilan tarve'!Q20</f>
        <v>#N/A</v>
      </c>
      <c r="R27" s="62">
        <f t="shared" si="9"/>
        <v>0.5</v>
      </c>
      <c r="S27" s="76"/>
      <c r="T27" s="77" t="e">
        <f ca="1">Q27*R27</f>
        <v>#N/A</v>
      </c>
      <c r="V27" s="9"/>
      <c r="W27" s="515" t="s">
        <v>57</v>
      </c>
      <c r="X27" s="516" t="e">
        <f t="shared" si="0"/>
        <v>#DIV/0!</v>
      </c>
      <c r="Y27" s="517">
        <f t="shared" si="0"/>
        <v>0</v>
      </c>
      <c r="Z27" s="518">
        <f>D28*Lähtötiedot!O16</f>
        <v>0</v>
      </c>
      <c r="AA27" s="517">
        <f t="shared" si="5"/>
        <v>0</v>
      </c>
      <c r="AB27" s="9"/>
      <c r="AC27" s="9"/>
      <c r="AD27" s="515" t="s">
        <v>57</v>
      </c>
      <c r="AE27" s="516" t="e">
        <f>X27</f>
        <v>#DIV/0!</v>
      </c>
      <c r="AF27" s="517">
        <f t="shared" si="1"/>
        <v>0</v>
      </c>
      <c r="AG27" s="518">
        <f>D28*Lähtötiedot!T16</f>
        <v>0</v>
      </c>
      <c r="AH27" s="517">
        <f t="shared" si="6"/>
        <v>0</v>
      </c>
      <c r="AI27" s="9"/>
      <c r="AK27" s="281" t="s">
        <v>182</v>
      </c>
      <c r="AL27" s="39" t="e">
        <f ca="1">Lähtötiedot!O17/Lähtötiedot!O22</f>
        <v>#N/A</v>
      </c>
      <c r="AM27" s="282">
        <f>D27</f>
        <v>0.5</v>
      </c>
      <c r="AN27" s="77" t="e">
        <f ca="1">AL27*AM27</f>
        <v>#N/A</v>
      </c>
      <c r="AO27" s="122"/>
      <c r="AP27" s="122"/>
      <c r="AQ27" s="122"/>
      <c r="AR27" s="84" t="s">
        <v>182</v>
      </c>
      <c r="AS27" s="39" t="e">
        <f ca="1">Lähtötiedot!T17</f>
        <v>#N/A</v>
      </c>
      <c r="AT27" s="62">
        <f>D27</f>
        <v>0.5</v>
      </c>
      <c r="AU27" s="77" t="e">
        <f t="shared" ca="1" si="10"/>
        <v>#N/A</v>
      </c>
      <c r="AV27" s="122"/>
      <c r="AW27" s="122"/>
    </row>
    <row r="28" spans="1:49" x14ac:dyDescent="0.25">
      <c r="B28" s="84" t="s">
        <v>57</v>
      </c>
      <c r="C28" s="88">
        <f>Lähtötiedot!C16</f>
        <v>0</v>
      </c>
      <c r="D28" s="168">
        <f>IF(Ruokinta!D45&lt;75,'Tilan tarve'!C10,'Tilan tarve'!C11)</f>
        <v>1</v>
      </c>
      <c r="E28" s="76" t="e">
        <f>C28*D28/Lähtötiedot!C22</f>
        <v>#DIV/0!</v>
      </c>
      <c r="F28" s="77">
        <f>C28*D28</f>
        <v>0</v>
      </c>
      <c r="G28" s="39"/>
      <c r="I28" s="84" t="s">
        <v>57</v>
      </c>
      <c r="J28" s="88" t="e">
        <f ca="1">Lähtötiedot!G16</f>
        <v>#N/A</v>
      </c>
      <c r="K28" s="62">
        <f t="shared" si="8"/>
        <v>1</v>
      </c>
      <c r="L28" s="76" t="e">
        <f ca="1">J28*K28/Lähtötiedot!G22</f>
        <v>#N/A</v>
      </c>
      <c r="M28" s="77" t="e">
        <f ca="1">J28*K28</f>
        <v>#N/A</v>
      </c>
      <c r="P28" s="84" t="s">
        <v>57</v>
      </c>
      <c r="Q28" s="88" t="e">
        <f ca="1">Lähtötiedot!K16</f>
        <v>#N/A</v>
      </c>
      <c r="R28" s="62">
        <f t="shared" si="9"/>
        <v>1</v>
      </c>
      <c r="S28" s="76" t="e">
        <f ca="1">Q28*R28/Lähtötiedot!K23</f>
        <v>#N/A</v>
      </c>
      <c r="T28" s="77" t="e">
        <f ca="1">Q28*R28</f>
        <v>#N/A</v>
      </c>
      <c r="V28" s="9"/>
      <c r="W28" s="515" t="s">
        <v>58</v>
      </c>
      <c r="X28" s="516">
        <f t="shared" si="0"/>
        <v>0</v>
      </c>
      <c r="Y28" s="517" t="e">
        <f t="shared" si="0"/>
        <v>#DIV/0!</v>
      </c>
      <c r="Z28" s="518" t="e">
        <f ca="1">D29*(Lähtötiedot!O18/Lähtötiedot!O22)</f>
        <v>#N/A</v>
      </c>
      <c r="AA28" s="517" t="e">
        <f t="shared" ca="1" si="5"/>
        <v>#DIV/0!</v>
      </c>
      <c r="AB28" s="9"/>
      <c r="AC28" s="9"/>
      <c r="AD28" s="515" t="s">
        <v>58</v>
      </c>
      <c r="AE28" s="516">
        <f>X28</f>
        <v>0</v>
      </c>
      <c r="AF28" s="517" t="e">
        <f t="shared" si="1"/>
        <v>#DIV/0!</v>
      </c>
      <c r="AG28" s="518" t="e">
        <f ca="1">D29*Lähtötiedot!T18/Lähtötiedot!S22</f>
        <v>#N/A</v>
      </c>
      <c r="AH28" s="517" t="e">
        <f ca="1">AF28-AG28</f>
        <v>#DIV/0!</v>
      </c>
      <c r="AI28" s="9"/>
      <c r="AK28" s="281" t="s">
        <v>57</v>
      </c>
      <c r="AL28" s="88">
        <f>Lähtötiedot!O16</f>
        <v>0</v>
      </c>
      <c r="AM28" s="282">
        <f>D28</f>
        <v>1</v>
      </c>
      <c r="AN28" s="77">
        <f t="shared" si="7"/>
        <v>0</v>
      </c>
      <c r="AO28" s="122"/>
      <c r="AP28" s="122"/>
      <c r="AQ28" s="122"/>
      <c r="AR28" s="84" t="s">
        <v>57</v>
      </c>
      <c r="AS28" s="88">
        <f>Lähtötiedot!T16</f>
        <v>0</v>
      </c>
      <c r="AT28" s="62">
        <f>D28</f>
        <v>1</v>
      </c>
      <c r="AU28" s="77">
        <f t="shared" si="10"/>
        <v>0</v>
      </c>
      <c r="AV28" s="122"/>
      <c r="AW28" s="122"/>
    </row>
    <row r="29" spans="1:49" x14ac:dyDescent="0.25">
      <c r="B29" s="84" t="s">
        <v>58</v>
      </c>
      <c r="C29" s="88" t="e">
        <f>Lähtötiedot!C18*C25/C20</f>
        <v>#DIV/0!</v>
      </c>
      <c r="D29" s="168">
        <f>IF(Ruokinta!D53&lt;=30,'Tilan tarve'!C7,'Tilan tarve'!C8)</f>
        <v>0.5</v>
      </c>
      <c r="E29" s="76"/>
      <c r="F29" s="77" t="e">
        <f>C29*D29</f>
        <v>#DIV/0!</v>
      </c>
      <c r="G29" s="54"/>
      <c r="I29" s="84" t="s">
        <v>58</v>
      </c>
      <c r="J29" s="88" t="e">
        <f ca="1">Lähtötiedot!G18*J25/J20</f>
        <v>#N/A</v>
      </c>
      <c r="K29" s="62">
        <f t="shared" si="8"/>
        <v>0.5</v>
      </c>
      <c r="L29" s="76"/>
      <c r="M29" s="77" t="e">
        <f ca="1">J29*K29</f>
        <v>#N/A</v>
      </c>
      <c r="P29" s="84" t="s">
        <v>58</v>
      </c>
      <c r="Q29" s="88" t="e">
        <f ca="1">Lähtötiedot!K18*Q25/Q20</f>
        <v>#N/A</v>
      </c>
      <c r="R29" s="62">
        <f t="shared" si="9"/>
        <v>0.5</v>
      </c>
      <c r="S29" s="76"/>
      <c r="T29" s="77" t="e">
        <f ca="1">Q29*R29/Lähtötiedot!K22</f>
        <v>#N/A</v>
      </c>
      <c r="V29" s="9"/>
      <c r="W29" s="515" t="s">
        <v>243</v>
      </c>
      <c r="X29" s="516">
        <f t="shared" si="0"/>
        <v>0</v>
      </c>
      <c r="Y29" s="517">
        <f t="shared" si="0"/>
        <v>0</v>
      </c>
      <c r="Z29" s="518" t="e">
        <f>D38*Lähtötiedot!O26</f>
        <v>#DIV/0!</v>
      </c>
      <c r="AA29" s="517" t="e">
        <f t="shared" si="5"/>
        <v>#DIV/0!</v>
      </c>
      <c r="AB29" s="9"/>
      <c r="AC29" s="9"/>
      <c r="AD29" s="515" t="s">
        <v>243</v>
      </c>
      <c r="AE29" s="516">
        <f>X29</f>
        <v>0</v>
      </c>
      <c r="AF29" s="517">
        <f t="shared" si="1"/>
        <v>0</v>
      </c>
      <c r="AG29" s="518" t="e">
        <f ca="1">J10*Lähtötiedot!S27</f>
        <v>#N/A</v>
      </c>
      <c r="AH29" s="517" t="e">
        <f t="shared" ca="1" si="6"/>
        <v>#N/A</v>
      </c>
      <c r="AI29" s="9"/>
      <c r="AK29" s="281" t="s">
        <v>58</v>
      </c>
      <c r="AL29" s="88" t="e">
        <f ca="1">(Lähtötiedot!O18)/Lähtötiedot!O22</f>
        <v>#N/A</v>
      </c>
      <c r="AM29" s="282">
        <f>D29</f>
        <v>0.5</v>
      </c>
      <c r="AN29" s="77" t="e">
        <f ca="1">AL29*AM29</f>
        <v>#N/A</v>
      </c>
      <c r="AO29" s="122"/>
      <c r="AP29" s="122"/>
      <c r="AQ29" s="122"/>
      <c r="AR29" s="84" t="s">
        <v>58</v>
      </c>
      <c r="AS29" s="88" t="e">
        <f ca="1">Lähtötiedot!T18</f>
        <v>#N/A</v>
      </c>
      <c r="AT29" s="62">
        <f>D29</f>
        <v>0.5</v>
      </c>
      <c r="AU29" s="77" t="e">
        <f t="shared" ca="1" si="10"/>
        <v>#N/A</v>
      </c>
      <c r="AV29" s="122"/>
      <c r="AW29" s="122"/>
    </row>
    <row r="30" spans="1:49" s="122" customFormat="1" x14ac:dyDescent="0.25">
      <c r="B30" s="84" t="s">
        <v>227</v>
      </c>
      <c r="C30" s="88">
        <f>Lähtötiedot!C26</f>
        <v>0</v>
      </c>
      <c r="D30" s="62">
        <f>J10</f>
        <v>1.5</v>
      </c>
      <c r="E30" s="76">
        <f t="shared" si="2"/>
        <v>0</v>
      </c>
      <c r="F30" s="77">
        <f>C30*D30</f>
        <v>0</v>
      </c>
      <c r="I30" s="84" t="s">
        <v>227</v>
      </c>
      <c r="J30" s="88" t="e">
        <f ca="1">Lähtötiedot!G26</f>
        <v>#DIV/0!</v>
      </c>
      <c r="K30" s="62">
        <f>D30</f>
        <v>1.5</v>
      </c>
      <c r="L30" s="76" t="e">
        <f t="shared" ref="L30" ca="1" si="11">J30*K30</f>
        <v>#DIV/0!</v>
      </c>
      <c r="M30" s="77" t="e">
        <f ca="1">J30*K30</f>
        <v>#DIV/0!</v>
      </c>
      <c r="P30" s="84" t="s">
        <v>227</v>
      </c>
      <c r="Q30" s="88" t="e">
        <f ca="1">Lähtötiedot!K27</f>
        <v>#N/A</v>
      </c>
      <c r="R30" s="62">
        <f>K30</f>
        <v>1.5</v>
      </c>
      <c r="S30" s="76" t="e">
        <f t="shared" ref="S30" ca="1" si="12">Q30*R30</f>
        <v>#N/A</v>
      </c>
      <c r="T30" s="77" t="e">
        <f ca="1">Q30*R30</f>
        <v>#N/A</v>
      </c>
      <c r="V30" s="9"/>
      <c r="W30" s="512" t="s">
        <v>36</v>
      </c>
      <c r="X30" s="519" t="e">
        <f t="shared" si="0"/>
        <v>#DIV/0!</v>
      </c>
      <c r="Y30" s="520" t="e">
        <f t="shared" si="0"/>
        <v>#DIV/0!</v>
      </c>
      <c r="Z30" s="521" t="e">
        <f ca="1">SUM(Z24:Z29)</f>
        <v>#N/A</v>
      </c>
      <c r="AA30" s="522" t="e">
        <f>SUM(AA24:AA29)</f>
        <v>#DIV/0!</v>
      </c>
      <c r="AB30" s="9"/>
      <c r="AC30" s="9"/>
      <c r="AD30" s="512" t="s">
        <v>36</v>
      </c>
      <c r="AE30" s="519" t="e">
        <f>SUM(AE24:AE29)</f>
        <v>#DIV/0!</v>
      </c>
      <c r="AF30" s="520" t="e">
        <f>SUM(AF24:AF29)</f>
        <v>#DIV/0!</v>
      </c>
      <c r="AG30" s="521" t="e">
        <f ca="1">SUM(AG24:AG29)</f>
        <v>#N/A</v>
      </c>
      <c r="AH30" s="523" t="e">
        <f ca="1">AF30-AG30</f>
        <v>#DIV/0!</v>
      </c>
      <c r="AI30" s="9"/>
      <c r="AK30" s="281" t="s">
        <v>227</v>
      </c>
      <c r="AL30" s="88" t="e">
        <f>Lähtötiedot!O26</f>
        <v>#DIV/0!</v>
      </c>
      <c r="AM30" s="282">
        <f>R30</f>
        <v>1.5</v>
      </c>
      <c r="AN30" s="77" t="e">
        <f t="shared" si="7"/>
        <v>#DIV/0!</v>
      </c>
      <c r="AR30" s="84" t="s">
        <v>227</v>
      </c>
      <c r="AS30" s="88" t="e">
        <f ca="1">Lähtötiedot!S27</f>
        <v>#N/A</v>
      </c>
      <c r="AT30" s="62">
        <f>AM30</f>
        <v>1.5</v>
      </c>
      <c r="AU30" s="77" t="e">
        <f ca="1">AS30*AT30</f>
        <v>#N/A</v>
      </c>
    </row>
    <row r="31" spans="1:49" s="51" customFormat="1" x14ac:dyDescent="0.25">
      <c r="B31" s="85" t="s">
        <v>36</v>
      </c>
      <c r="C31" s="104" t="e">
        <f>SUM(C25:C29)</f>
        <v>#DIV/0!</v>
      </c>
      <c r="D31" s="174"/>
      <c r="E31" s="199" t="e">
        <f>SUM(E25:E30)</f>
        <v>#DIV/0!</v>
      </c>
      <c r="F31" s="119" t="e">
        <f>SUM(F25:F30)</f>
        <v>#DIV/0!</v>
      </c>
      <c r="G31"/>
      <c r="H31" s="54"/>
      <c r="I31" s="85" t="s">
        <v>36</v>
      </c>
      <c r="J31" s="104" t="e">
        <f ca="1">SUM(J25:J29)</f>
        <v>#N/A</v>
      </c>
      <c r="K31" s="94"/>
      <c r="L31" s="199" t="e">
        <f ca="1">SUM(L25:L30)</f>
        <v>#N/A</v>
      </c>
      <c r="M31" s="119" t="e">
        <f ca="1">SUM(M25:M30)</f>
        <v>#N/A</v>
      </c>
      <c r="N31"/>
      <c r="O31" s="122"/>
      <c r="P31" s="85" t="s">
        <v>36</v>
      </c>
      <c r="Q31" s="104" t="e">
        <f ca="1">SUM(Q25:Q29)</f>
        <v>#N/A</v>
      </c>
      <c r="R31" s="94"/>
      <c r="S31" s="199" t="e">
        <f ca="1">SUM(S25:S30)</f>
        <v>#N/A</v>
      </c>
      <c r="T31" s="119" t="e">
        <f ca="1">SUM(T25:T30)</f>
        <v>#N/A</v>
      </c>
      <c r="U31" s="122"/>
      <c r="V31" s="9"/>
      <c r="W31" s="9"/>
      <c r="X31" s="9"/>
      <c r="Y31" s="9"/>
      <c r="Z31" s="9"/>
      <c r="AA31" s="9"/>
      <c r="AB31" s="9"/>
      <c r="AC31" s="9"/>
      <c r="AD31" s="9"/>
      <c r="AE31" s="9"/>
      <c r="AF31" s="9"/>
      <c r="AG31" s="9"/>
      <c r="AH31" s="9"/>
      <c r="AI31" s="9"/>
      <c r="AK31" s="283" t="s">
        <v>36</v>
      </c>
      <c r="AL31" s="104" t="e">
        <f ca="1">SUM(AL25:AL30)</f>
        <v>#N/A</v>
      </c>
      <c r="AM31" s="284"/>
      <c r="AN31" s="285" t="e">
        <f ca="1">SUM(AN25:AN30)</f>
        <v>#N/A</v>
      </c>
      <c r="AO31" s="122"/>
      <c r="AP31" s="122"/>
      <c r="AQ31" s="122"/>
      <c r="AR31" s="85" t="s">
        <v>36</v>
      </c>
      <c r="AS31" s="104" t="e">
        <f ca="1">SUM(AS25:AS30)</f>
        <v>#N/A</v>
      </c>
      <c r="AT31" s="94"/>
      <c r="AU31" s="119" t="e">
        <f ca="1">SUM(AU25:AU30)</f>
        <v>#N/A</v>
      </c>
      <c r="AV31" s="122"/>
      <c r="AW31" s="122"/>
    </row>
    <row r="32" spans="1:49" x14ac:dyDescent="0.25">
      <c r="B32" s="51"/>
      <c r="C32" s="51"/>
      <c r="D32" s="51"/>
      <c r="E32" s="51"/>
      <c r="F32" s="51"/>
      <c r="G32" s="51"/>
      <c r="I32" s="51"/>
      <c r="J32" s="51"/>
      <c r="K32" s="51"/>
      <c r="L32" s="51"/>
      <c r="N32" s="51"/>
      <c r="P32" s="122"/>
      <c r="Q32" s="122"/>
      <c r="R32" s="122"/>
      <c r="S32" s="122"/>
      <c r="V32" s="9"/>
      <c r="W32" s="9"/>
      <c r="X32" s="9"/>
      <c r="Y32" s="9"/>
      <c r="Z32" s="9"/>
      <c r="AA32" s="9"/>
      <c r="AB32" s="9"/>
      <c r="AC32" s="9"/>
      <c r="AD32" s="9"/>
      <c r="AE32" s="9"/>
      <c r="AF32" s="9"/>
      <c r="AG32" s="9"/>
      <c r="AH32" s="9"/>
      <c r="AI32" s="9"/>
      <c r="AK32" s="122"/>
      <c r="AL32" s="122"/>
      <c r="AM32" s="122"/>
      <c r="AN32" s="122"/>
      <c r="AO32" s="122"/>
      <c r="AP32" s="122"/>
      <c r="AQ32" s="122"/>
      <c r="AR32" s="122"/>
      <c r="AS32" s="122"/>
      <c r="AT32" s="122"/>
      <c r="AU32" s="122"/>
      <c r="AV32" s="122"/>
      <c r="AW32" s="122"/>
    </row>
    <row r="33" spans="2:35" x14ac:dyDescent="0.25">
      <c r="B33" s="55"/>
      <c r="I33"/>
      <c r="J33"/>
      <c r="K33"/>
      <c r="L33"/>
      <c r="P33" s="122"/>
      <c r="Q33" s="122"/>
      <c r="R33" s="122"/>
      <c r="S33" s="122"/>
      <c r="V33" s="9"/>
      <c r="W33" s="9"/>
      <c r="X33" s="9"/>
      <c r="Y33" s="9"/>
      <c r="Z33" s="9"/>
      <c r="AA33" s="9"/>
      <c r="AB33" s="9"/>
      <c r="AC33" s="9"/>
      <c r="AD33" s="9"/>
      <c r="AE33" s="9"/>
      <c r="AF33" s="9"/>
      <c r="AG33" s="9"/>
      <c r="AH33" s="9"/>
      <c r="AI33" s="9"/>
    </row>
    <row r="34" spans="2:35" x14ac:dyDescent="0.25">
      <c r="B34" s="289" t="s">
        <v>116</v>
      </c>
      <c r="E34" s="374" t="s">
        <v>120</v>
      </c>
      <c r="F34" s="374"/>
      <c r="I34" s="289" t="s">
        <v>116</v>
      </c>
      <c r="J34" s="57"/>
      <c r="K34" s="57"/>
      <c r="L34" s="374" t="s">
        <v>120</v>
      </c>
      <c r="M34" s="374"/>
      <c r="P34" s="289" t="s">
        <v>116</v>
      </c>
      <c r="Q34" s="122"/>
      <c r="R34" s="122"/>
      <c r="S34" s="374" t="s">
        <v>120</v>
      </c>
      <c r="T34" s="374"/>
      <c r="V34" s="9"/>
      <c r="W34" s="406" t="s">
        <v>121</v>
      </c>
      <c r="X34" s="414"/>
      <c r="Y34" s="9"/>
      <c r="Z34" s="9"/>
      <c r="AA34" s="9"/>
      <c r="AB34" s="9"/>
      <c r="AC34" s="9"/>
      <c r="AD34" s="406" t="s">
        <v>121</v>
      </c>
      <c r="AE34" s="414"/>
      <c r="AF34" s="524"/>
      <c r="AG34" s="9"/>
      <c r="AH34" s="9"/>
      <c r="AI34" s="9"/>
    </row>
    <row r="35" spans="2:35" x14ac:dyDescent="0.25">
      <c r="B35" s="80"/>
      <c r="C35" s="81" t="s">
        <v>1</v>
      </c>
      <c r="D35" s="81" t="s">
        <v>110</v>
      </c>
      <c r="E35" s="80" t="s">
        <v>252</v>
      </c>
      <c r="F35" s="82" t="s">
        <v>253</v>
      </c>
      <c r="I35" s="80"/>
      <c r="J35" s="81" t="s">
        <v>1</v>
      </c>
      <c r="K35" s="156" t="s">
        <v>110</v>
      </c>
      <c r="L35" s="80" t="s">
        <v>252</v>
      </c>
      <c r="M35" s="82" t="s">
        <v>253</v>
      </c>
      <c r="P35" s="80"/>
      <c r="Q35" s="81" t="s">
        <v>1</v>
      </c>
      <c r="R35" s="156" t="s">
        <v>110</v>
      </c>
      <c r="S35" s="80" t="s">
        <v>252</v>
      </c>
      <c r="T35" s="82" t="s">
        <v>253</v>
      </c>
      <c r="V35" s="9"/>
      <c r="W35" s="510"/>
      <c r="X35" s="467" t="s">
        <v>101</v>
      </c>
      <c r="Y35" s="468"/>
      <c r="Z35" s="453" t="s">
        <v>258</v>
      </c>
      <c r="AA35" s="511"/>
      <c r="AB35" s="9"/>
      <c r="AC35" s="9"/>
      <c r="AD35" s="525"/>
      <c r="AE35" s="467" t="s">
        <v>101</v>
      </c>
      <c r="AF35" s="468"/>
      <c r="AG35" s="453" t="s">
        <v>258</v>
      </c>
      <c r="AH35" s="511"/>
      <c r="AI35" s="9"/>
    </row>
    <row r="36" spans="2:35" x14ac:dyDescent="0.25">
      <c r="B36" s="83" t="s">
        <v>111</v>
      </c>
      <c r="C36" s="88" t="e">
        <f>ROUND(C20/Lähtötiedot!C22,0)</f>
        <v>#DIV/0!</v>
      </c>
      <c r="D36" s="168">
        <f>D25</f>
        <v>2</v>
      </c>
      <c r="E36" s="76" t="e">
        <f t="shared" ref="E36:E37" si="13">C36*D36</f>
        <v>#DIV/0!</v>
      </c>
      <c r="F36" s="53"/>
      <c r="I36" s="83" t="s">
        <v>111</v>
      </c>
      <c r="J36" s="86" t="e">
        <f ca="1">ROUND(J20/Lähtötiedot!G22,0)</f>
        <v>#N/A</v>
      </c>
      <c r="K36" s="155">
        <f>D36</f>
        <v>2</v>
      </c>
      <c r="L36" s="76" t="e">
        <f t="shared" ref="L36:L37" ca="1" si="14">J36*K36</f>
        <v>#N/A</v>
      </c>
      <c r="M36" s="77"/>
      <c r="P36" s="83" t="s">
        <v>111</v>
      </c>
      <c r="Q36" s="86" t="e">
        <f ca="1">ROUND(Q20*0.6,0)</f>
        <v>#N/A</v>
      </c>
      <c r="R36" s="155">
        <f>D36</f>
        <v>2</v>
      </c>
      <c r="S36" s="76" t="e">
        <f t="shared" ref="S36:S37" ca="1" si="15">Q36*R36</f>
        <v>#N/A</v>
      </c>
      <c r="T36" s="77"/>
      <c r="V36" s="9"/>
      <c r="W36" s="526" t="s">
        <v>116</v>
      </c>
      <c r="X36" s="498" t="s">
        <v>252</v>
      </c>
      <c r="Y36" s="514" t="s">
        <v>253</v>
      </c>
      <c r="Z36" s="406" t="s">
        <v>259</v>
      </c>
      <c r="AA36" s="514" t="s">
        <v>256</v>
      </c>
      <c r="AB36" s="9"/>
      <c r="AC36" s="9"/>
      <c r="AD36" s="526" t="s">
        <v>116</v>
      </c>
      <c r="AE36" s="527" t="s">
        <v>252</v>
      </c>
      <c r="AF36" s="528" t="s">
        <v>253</v>
      </c>
      <c r="AG36" s="510" t="s">
        <v>259</v>
      </c>
      <c r="AH36" s="514" t="s">
        <v>256</v>
      </c>
      <c r="AI36" s="9"/>
    </row>
    <row r="37" spans="2:35" x14ac:dyDescent="0.25">
      <c r="B37" s="84" t="s">
        <v>115</v>
      </c>
      <c r="C37" s="88" t="e">
        <f>C20-C36</f>
        <v>#DIV/0!</v>
      </c>
      <c r="D37" s="168">
        <f>D26</f>
        <v>1</v>
      </c>
      <c r="E37" s="76" t="e">
        <f t="shared" si="13"/>
        <v>#DIV/0!</v>
      </c>
      <c r="F37" s="77" t="e">
        <f>(C36+C37)*D37</f>
        <v>#DIV/0!</v>
      </c>
      <c r="I37" s="84" t="s">
        <v>115</v>
      </c>
      <c r="J37" s="88" t="e">
        <f ca="1">ROUND(J20-J36,0)</f>
        <v>#N/A</v>
      </c>
      <c r="K37" s="62">
        <f t="shared" ref="K37" si="16">D37</f>
        <v>1</v>
      </c>
      <c r="L37" s="76" t="e">
        <f t="shared" ca="1" si="14"/>
        <v>#N/A</v>
      </c>
      <c r="M37" s="77" t="e">
        <f ca="1">(J36+J37)*K37</f>
        <v>#N/A</v>
      </c>
      <c r="P37" s="84" t="s">
        <v>115</v>
      </c>
      <c r="Q37" s="88" t="e">
        <f ca="1">Q20-Q36</f>
        <v>#N/A</v>
      </c>
      <c r="R37" s="62">
        <f t="shared" ref="R37" si="17">D37</f>
        <v>1</v>
      </c>
      <c r="S37" s="76" t="e">
        <f t="shared" ca="1" si="15"/>
        <v>#N/A</v>
      </c>
      <c r="T37" s="77" t="e">
        <f ca="1">(Q36+Q37)*R37</f>
        <v>#N/A</v>
      </c>
      <c r="V37" s="9"/>
      <c r="W37" s="527" t="s">
        <v>111</v>
      </c>
      <c r="X37" s="529" t="e">
        <f>E36</f>
        <v>#DIV/0!</v>
      </c>
      <c r="Y37" s="530">
        <f>F36</f>
        <v>0</v>
      </c>
      <c r="Z37" s="495">
        <f>Y37</f>
        <v>0</v>
      </c>
      <c r="AA37" s="517">
        <f>Y37-Z37</f>
        <v>0</v>
      </c>
      <c r="AB37" s="9"/>
      <c r="AC37" s="9"/>
      <c r="AD37" s="527" t="s">
        <v>111</v>
      </c>
      <c r="AE37" s="529" t="e">
        <f>X37</f>
        <v>#DIV/0!</v>
      </c>
      <c r="AF37" s="500">
        <f>Y37</f>
        <v>0</v>
      </c>
      <c r="AG37" s="495">
        <f>Z37</f>
        <v>0</v>
      </c>
      <c r="AH37" s="517">
        <f>AF37-AG37</f>
        <v>0</v>
      </c>
      <c r="AI37" s="9"/>
    </row>
    <row r="38" spans="2:35" x14ac:dyDescent="0.25">
      <c r="B38" s="84" t="s">
        <v>227</v>
      </c>
      <c r="C38" s="88">
        <f>C30</f>
        <v>0</v>
      </c>
      <c r="D38" s="168">
        <f>D30</f>
        <v>1.5</v>
      </c>
      <c r="E38" s="76">
        <f>C38*D38</f>
        <v>0</v>
      </c>
      <c r="F38" s="77">
        <f>C38*D38</f>
        <v>0</v>
      </c>
      <c r="I38" s="84" t="s">
        <v>227</v>
      </c>
      <c r="J38" s="88" t="e">
        <f ca="1">J30</f>
        <v>#DIV/0!</v>
      </c>
      <c r="K38" s="62">
        <f>D38</f>
        <v>1.5</v>
      </c>
      <c r="L38" s="76" t="e">
        <f ca="1">J38*K38</f>
        <v>#DIV/0!</v>
      </c>
      <c r="M38" s="77" t="e">
        <f ca="1">J38*K38</f>
        <v>#DIV/0!</v>
      </c>
      <c r="P38" s="84" t="s">
        <v>227</v>
      </c>
      <c r="Q38" s="88" t="e">
        <f ca="1">Q30</f>
        <v>#N/A</v>
      </c>
      <c r="R38" s="62">
        <f>K38</f>
        <v>1.5</v>
      </c>
      <c r="S38" s="76" t="e">
        <f ca="1">Q38*R38</f>
        <v>#N/A</v>
      </c>
      <c r="T38" s="77" t="e">
        <f ca="1">Q38*R38</f>
        <v>#N/A</v>
      </c>
      <c r="V38" s="9"/>
      <c r="W38" s="531" t="s">
        <v>115</v>
      </c>
      <c r="X38" s="532" t="e">
        <f>E37</f>
        <v>#DIV/0!</v>
      </c>
      <c r="Y38" s="517" t="e">
        <f>F37</f>
        <v>#DIV/0!</v>
      </c>
      <c r="Z38" s="518">
        <f>D37*Lähtötiedot!O35</f>
        <v>0</v>
      </c>
      <c r="AA38" s="517" t="e">
        <f t="shared" ref="AA38:AA43" si="18">Y38-Z38</f>
        <v>#DIV/0!</v>
      </c>
      <c r="AB38" s="9"/>
      <c r="AC38" s="9"/>
      <c r="AD38" s="531" t="s">
        <v>115</v>
      </c>
      <c r="AE38" s="532" t="e">
        <f t="shared" ref="AE38:AE44" si="19">X38</f>
        <v>#DIV/0!</v>
      </c>
      <c r="AF38" s="516" t="e">
        <f t="shared" ref="AF38:AF43" si="20">Y38</f>
        <v>#DIV/0!</v>
      </c>
      <c r="AG38" s="518">
        <f>D37*Lähtötiedot!S35</f>
        <v>0</v>
      </c>
      <c r="AH38" s="517" t="e">
        <f t="shared" ref="AH38:AH43" si="21">AF38-AG38</f>
        <v>#DIV/0!</v>
      </c>
      <c r="AI38" s="9"/>
    </row>
    <row r="39" spans="2:35" x14ac:dyDescent="0.25">
      <c r="B39" s="84" t="s">
        <v>182</v>
      </c>
      <c r="C39" s="88" t="e">
        <f>(Lähtötiedot!C17+Lähtötiedot!C19)*C36/C20</f>
        <v>#DIV/0!</v>
      </c>
      <c r="D39" s="168">
        <f>J6</f>
        <v>1</v>
      </c>
      <c r="E39" s="76"/>
      <c r="F39" s="77" t="e">
        <f>C39*D39</f>
        <v>#DIV/0!</v>
      </c>
      <c r="I39" s="84" t="s">
        <v>182</v>
      </c>
      <c r="J39" s="88" t="e">
        <f ca="1">(Lähtötiedot!G17+Lähtötiedot!G19)*J36/J20</f>
        <v>#DIV/0!</v>
      </c>
      <c r="K39" s="62">
        <f>D39</f>
        <v>1</v>
      </c>
      <c r="L39" s="76"/>
      <c r="M39" s="77" t="e">
        <f ca="1">J39*K39</f>
        <v>#DIV/0!</v>
      </c>
      <c r="P39" s="84" t="s">
        <v>182</v>
      </c>
      <c r="Q39" s="88" t="e">
        <f ca="1">(Lähtötiedot!K17+Lähtötiedot!K19)*Q36/Q20</f>
        <v>#N/A</v>
      </c>
      <c r="R39" s="62">
        <f>D39</f>
        <v>1</v>
      </c>
      <c r="S39" s="76"/>
      <c r="T39" s="77" t="e">
        <f ca="1">Q39*R39</f>
        <v>#N/A</v>
      </c>
      <c r="V39" s="9"/>
      <c r="W39" s="531" t="s">
        <v>182</v>
      </c>
      <c r="X39" s="532">
        <f t="shared" ref="X39:Y42" si="22">E39</f>
        <v>0</v>
      </c>
      <c r="Y39" s="517" t="e">
        <f t="shared" si="22"/>
        <v>#DIV/0!</v>
      </c>
      <c r="Z39" s="518" t="e">
        <f ca="1">D39*Lähtötiedot!O44/Lähtötiedot!O49</f>
        <v>#N/A</v>
      </c>
      <c r="AA39" s="517" t="e">
        <f t="shared" ca="1" si="18"/>
        <v>#DIV/0!</v>
      </c>
      <c r="AB39" s="9"/>
      <c r="AC39" s="9"/>
      <c r="AD39" s="531" t="s">
        <v>182</v>
      </c>
      <c r="AE39" s="532">
        <f t="shared" si="19"/>
        <v>0</v>
      </c>
      <c r="AF39" s="516" t="e">
        <f t="shared" si="20"/>
        <v>#DIV/0!</v>
      </c>
      <c r="AG39" s="518" t="e">
        <f ca="1">D39*Lähtötiedot!T42</f>
        <v>#N/A</v>
      </c>
      <c r="AH39" s="517" t="e">
        <f t="shared" ca="1" si="21"/>
        <v>#DIV/0!</v>
      </c>
      <c r="AI39" s="9"/>
    </row>
    <row r="40" spans="2:35" x14ac:dyDescent="0.25">
      <c r="B40" s="84" t="s">
        <v>57</v>
      </c>
      <c r="C40" s="61">
        <f>Lähtötiedot!C16</f>
        <v>0</v>
      </c>
      <c r="D40" s="168">
        <f>J6</f>
        <v>1</v>
      </c>
      <c r="E40" s="76" t="e">
        <f>C40*D40/Lähtötiedot!C22</f>
        <v>#DIV/0!</v>
      </c>
      <c r="F40" s="77">
        <f>C40*D40</f>
        <v>0</v>
      </c>
      <c r="H40" s="57"/>
      <c r="I40" s="84" t="s">
        <v>57</v>
      </c>
      <c r="J40" s="88" t="e">
        <f ca="1">Lähtötiedot!G16</f>
        <v>#N/A</v>
      </c>
      <c r="K40" s="62">
        <f>D40</f>
        <v>1</v>
      </c>
      <c r="L40" s="76" t="e">
        <f ca="1">J40*K40/Lähtötiedot!G22</f>
        <v>#N/A</v>
      </c>
      <c r="M40" s="77" t="e">
        <f ca="1">J40*K40</f>
        <v>#N/A</v>
      </c>
      <c r="P40" s="84" t="s">
        <v>57</v>
      </c>
      <c r="Q40" s="88" t="e">
        <f ca="1">Lähtötiedot!K16</f>
        <v>#N/A</v>
      </c>
      <c r="R40" s="62">
        <f>D40</f>
        <v>1</v>
      </c>
      <c r="S40" s="76" t="e">
        <f ca="1">Q40*R40/Lähtötiedot!K23</f>
        <v>#N/A</v>
      </c>
      <c r="T40" s="77" t="e">
        <f ca="1">Q40*R40</f>
        <v>#N/A</v>
      </c>
      <c r="V40" s="9"/>
      <c r="W40" s="531" t="s">
        <v>57</v>
      </c>
      <c r="X40" s="532" t="e">
        <f t="shared" si="22"/>
        <v>#DIV/0!</v>
      </c>
      <c r="Y40" s="517">
        <f t="shared" si="22"/>
        <v>0</v>
      </c>
      <c r="Z40" s="518">
        <f>D40*Lähtötiedot!O43</f>
        <v>0</v>
      </c>
      <c r="AA40" s="517">
        <f t="shared" si="18"/>
        <v>0</v>
      </c>
      <c r="AB40" s="9"/>
      <c r="AC40" s="9"/>
      <c r="AD40" s="531" t="s">
        <v>57</v>
      </c>
      <c r="AE40" s="532" t="e">
        <f t="shared" si="19"/>
        <v>#DIV/0!</v>
      </c>
      <c r="AF40" s="516">
        <f t="shared" si="20"/>
        <v>0</v>
      </c>
      <c r="AG40" s="518">
        <f>D40*Lähtötiedot!T41</f>
        <v>0</v>
      </c>
      <c r="AH40" s="517">
        <f t="shared" si="21"/>
        <v>0</v>
      </c>
      <c r="AI40" s="9"/>
    </row>
    <row r="41" spans="2:35" x14ac:dyDescent="0.25">
      <c r="B41" s="84" t="s">
        <v>58</v>
      </c>
      <c r="C41" s="88" t="e">
        <f>Lähtötiedot!C18*C36/C20</f>
        <v>#DIV/0!</v>
      </c>
      <c r="D41" s="168">
        <f>J5</f>
        <v>0.6</v>
      </c>
      <c r="E41" s="76"/>
      <c r="F41" s="77" t="e">
        <f>C41*D41</f>
        <v>#DIV/0!</v>
      </c>
      <c r="I41" s="84" t="s">
        <v>58</v>
      </c>
      <c r="J41" s="88" t="e">
        <f ca="1">Lähtötiedot!G18*J36/J20</f>
        <v>#N/A</v>
      </c>
      <c r="K41" s="62">
        <f>D41</f>
        <v>0.6</v>
      </c>
      <c r="L41" s="76"/>
      <c r="M41" s="77" t="e">
        <f ca="1">J41*K41</f>
        <v>#N/A</v>
      </c>
      <c r="P41" s="84" t="s">
        <v>58</v>
      </c>
      <c r="Q41" s="88" t="e">
        <f ca="1">Lähtötiedot!K18*Q36/Q20</f>
        <v>#N/A</v>
      </c>
      <c r="R41" s="62">
        <f>D41</f>
        <v>0.6</v>
      </c>
      <c r="S41" s="76"/>
      <c r="T41" s="77" t="e">
        <f ca="1">Q41*R41/Lähtötiedot!K22</f>
        <v>#N/A</v>
      </c>
      <c r="V41" s="9"/>
      <c r="W41" s="531" t="s">
        <v>58</v>
      </c>
      <c r="X41" s="532">
        <f t="shared" si="22"/>
        <v>0</v>
      </c>
      <c r="Y41" s="517" t="e">
        <f t="shared" si="22"/>
        <v>#DIV/0!</v>
      </c>
      <c r="Z41" s="518" t="e">
        <f ca="1">D41*Lähtötiedot!O45/Lähtötiedot!O49</f>
        <v>#N/A</v>
      </c>
      <c r="AA41" s="517" t="e">
        <f t="shared" ca="1" si="18"/>
        <v>#DIV/0!</v>
      </c>
      <c r="AB41" s="9"/>
      <c r="AC41" s="9"/>
      <c r="AD41" s="531" t="s">
        <v>58</v>
      </c>
      <c r="AE41" s="532">
        <f t="shared" si="19"/>
        <v>0</v>
      </c>
      <c r="AF41" s="516" t="e">
        <f t="shared" si="20"/>
        <v>#DIV/0!</v>
      </c>
      <c r="AG41" s="518" t="e">
        <f ca="1">D41*Lähtötiedot!T43/Lähtötiedot!S49</f>
        <v>#N/A</v>
      </c>
      <c r="AH41" s="517" t="e">
        <f t="shared" ca="1" si="21"/>
        <v>#DIV/0!</v>
      </c>
      <c r="AI41" s="9"/>
    </row>
    <row r="42" spans="2:35" x14ac:dyDescent="0.25">
      <c r="B42" s="84" t="s">
        <v>117</v>
      </c>
      <c r="C42" s="88" t="e">
        <f>Lähtötiedot!C12*C36/C20</f>
        <v>#DIV/0!</v>
      </c>
      <c r="D42" s="168">
        <f>J7</f>
        <v>0.2</v>
      </c>
      <c r="E42" s="61" t="e">
        <f>C42*D42</f>
        <v>#DIV/0!</v>
      </c>
      <c r="F42" s="53" t="e">
        <f>C42*D42</f>
        <v>#DIV/0!</v>
      </c>
      <c r="I42" s="84" t="s">
        <v>117</v>
      </c>
      <c r="J42" s="88" t="e">
        <f ca="1">Lähtötiedot!G12*J36/J20</f>
        <v>#N/A</v>
      </c>
      <c r="K42" s="62">
        <f>D42</f>
        <v>0.2</v>
      </c>
      <c r="L42" s="76" t="e">
        <f ca="1">J42*K42</f>
        <v>#N/A</v>
      </c>
      <c r="M42" s="77" t="e">
        <f ca="1">J42*K42</f>
        <v>#N/A</v>
      </c>
      <c r="P42" s="84" t="s">
        <v>117</v>
      </c>
      <c r="Q42" s="88" t="e">
        <f ca="1">Lähtötiedot!K12*Q36/Q20</f>
        <v>#N/A</v>
      </c>
      <c r="R42" s="62">
        <f>D42</f>
        <v>0.2</v>
      </c>
      <c r="S42" s="76" t="e">
        <f ca="1">Q42*R42</f>
        <v>#N/A</v>
      </c>
      <c r="T42" s="77" t="e">
        <f ca="1">Q42*R42/Lähtötiedot!K22</f>
        <v>#N/A</v>
      </c>
      <c r="V42" s="9"/>
      <c r="W42" s="531" t="s">
        <v>117</v>
      </c>
      <c r="X42" s="532" t="e">
        <f t="shared" si="22"/>
        <v>#DIV/0!</v>
      </c>
      <c r="Y42" s="517" t="e">
        <f t="shared" si="22"/>
        <v>#DIV/0!</v>
      </c>
      <c r="Z42" s="518" t="e">
        <f>Lähtötiedot!O40*'Tilan tarve'!D42</f>
        <v>#DIV/0!</v>
      </c>
      <c r="AA42" s="517" t="e">
        <f t="shared" si="18"/>
        <v>#DIV/0!</v>
      </c>
      <c r="AB42" s="9"/>
      <c r="AC42" s="9"/>
      <c r="AD42" s="531" t="s">
        <v>117</v>
      </c>
      <c r="AE42" s="532" t="e">
        <f t="shared" si="19"/>
        <v>#DIV/0!</v>
      </c>
      <c r="AF42" s="516" t="e">
        <f t="shared" si="20"/>
        <v>#DIV/0!</v>
      </c>
      <c r="AG42" s="518">
        <f>D42*Lähtötiedot!S40/Lähtötiedot!S49</f>
        <v>0</v>
      </c>
      <c r="AH42" s="517" t="e">
        <f t="shared" si="21"/>
        <v>#DIV/0!</v>
      </c>
      <c r="AI42" s="9"/>
    </row>
    <row r="43" spans="2:35" x14ac:dyDescent="0.25">
      <c r="B43" s="85" t="s">
        <v>36</v>
      </c>
      <c r="C43" s="104" t="e">
        <f>SUM(C36:C41)</f>
        <v>#DIV/0!</v>
      </c>
      <c r="D43" s="94"/>
      <c r="E43" s="199" t="e">
        <f>SUM(E36:E42)</f>
        <v>#DIV/0!</v>
      </c>
      <c r="F43" s="200" t="e">
        <f>SUM(F36:F42)</f>
        <v>#DIV/0!</v>
      </c>
      <c r="I43" s="85" t="s">
        <v>36</v>
      </c>
      <c r="J43" s="104" t="e">
        <f ca="1">SUM(J36:J41)</f>
        <v>#N/A</v>
      </c>
      <c r="K43" s="94"/>
      <c r="L43" s="199" t="e">
        <f ca="1">SUM(L36:L42)</f>
        <v>#N/A</v>
      </c>
      <c r="M43" s="119" t="e">
        <f ca="1">SUM(M36:M42)</f>
        <v>#N/A</v>
      </c>
      <c r="P43" s="85" t="s">
        <v>36</v>
      </c>
      <c r="Q43" s="104" t="e">
        <f ca="1">SUM(Q36:Q41)</f>
        <v>#N/A</v>
      </c>
      <c r="R43" s="94"/>
      <c r="S43" s="199" t="e">
        <f ca="1">SUM(S36:S42)</f>
        <v>#N/A</v>
      </c>
      <c r="T43" s="119" t="e">
        <f ca="1">SUM(T36:T42)</f>
        <v>#N/A</v>
      </c>
      <c r="V43" s="9"/>
      <c r="W43" s="531" t="s">
        <v>227</v>
      </c>
      <c r="X43" s="532">
        <f>E38</f>
        <v>0</v>
      </c>
      <c r="Y43" s="517">
        <f>F38</f>
        <v>0</v>
      </c>
      <c r="Z43" s="518" t="e">
        <f>D38*Lähtötiedot!O53</f>
        <v>#DIV/0!</v>
      </c>
      <c r="AA43" s="517" t="e">
        <f t="shared" si="18"/>
        <v>#DIV/0!</v>
      </c>
      <c r="AB43" s="9"/>
      <c r="AC43" s="9"/>
      <c r="AD43" s="531" t="s">
        <v>227</v>
      </c>
      <c r="AE43" s="532">
        <f t="shared" si="19"/>
        <v>0</v>
      </c>
      <c r="AF43" s="516">
        <f t="shared" si="20"/>
        <v>0</v>
      </c>
      <c r="AG43" s="518" t="e">
        <f ca="1">J10*Lähtötiedot!S54</f>
        <v>#N/A</v>
      </c>
      <c r="AH43" s="517" t="e">
        <f t="shared" ca="1" si="21"/>
        <v>#N/A</v>
      </c>
      <c r="AI43" s="9"/>
    </row>
    <row r="44" spans="2:35" x14ac:dyDescent="0.25">
      <c r="G44" s="57"/>
      <c r="N44" s="36"/>
      <c r="P44" s="36"/>
      <c r="Q44" s="36"/>
      <c r="R44" s="36"/>
      <c r="V44" s="9"/>
      <c r="W44" s="533" t="s">
        <v>36</v>
      </c>
      <c r="X44" s="534" t="e">
        <f>E43</f>
        <v>#DIV/0!</v>
      </c>
      <c r="Y44" s="520" t="e">
        <f>F43</f>
        <v>#DIV/0!</v>
      </c>
      <c r="Z44" s="521" t="e">
        <f ca="1">SUM(Z37:Z43)</f>
        <v>#N/A</v>
      </c>
      <c r="AA44" s="522" t="e">
        <f>SUM(AA37:AA43)</f>
        <v>#DIV/0!</v>
      </c>
      <c r="AB44" s="9"/>
      <c r="AC44" s="9"/>
      <c r="AD44" s="533" t="s">
        <v>36</v>
      </c>
      <c r="AE44" s="534" t="e">
        <f t="shared" si="19"/>
        <v>#DIV/0!</v>
      </c>
      <c r="AF44" s="519" t="e">
        <f>SUM(AF37:AF43)</f>
        <v>#DIV/0!</v>
      </c>
      <c r="AG44" s="521" t="e">
        <f ca="1">SUM(AG37:AG43)</f>
        <v>#N/A</v>
      </c>
      <c r="AH44" s="523" t="e">
        <f>SUM(AH37:AH43)</f>
        <v>#DIV/0!</v>
      </c>
      <c r="AI44" s="9"/>
    </row>
    <row r="45" spans="2:35" x14ac:dyDescent="0.25">
      <c r="G45" s="57"/>
      <c r="N45" s="36"/>
      <c r="P45" s="36"/>
      <c r="Q45" s="36"/>
      <c r="R45" s="36"/>
      <c r="V45" s="9"/>
      <c r="W45" s="9"/>
      <c r="X45" s="9"/>
      <c r="Y45" s="9"/>
      <c r="Z45" s="9"/>
      <c r="AA45" s="9"/>
      <c r="AB45" s="9"/>
      <c r="AC45" s="9"/>
      <c r="AD45" s="9"/>
      <c r="AE45" s="9"/>
      <c r="AF45" s="9"/>
      <c r="AG45" s="9"/>
      <c r="AH45" s="9"/>
      <c r="AI45" s="9"/>
    </row>
    <row r="46" spans="2:35" x14ac:dyDescent="0.25">
      <c r="G46" s="57"/>
      <c r="Q46" s="36"/>
      <c r="R46" s="36"/>
      <c r="V46" s="9"/>
      <c r="W46" s="9"/>
      <c r="X46" s="9"/>
      <c r="Y46" s="9"/>
      <c r="Z46" s="9"/>
      <c r="AA46" s="9"/>
      <c r="AB46" s="9"/>
      <c r="AC46" s="9"/>
      <c r="AD46" s="9"/>
      <c r="AE46" s="9"/>
      <c r="AF46" s="9"/>
      <c r="AG46" s="9"/>
      <c r="AH46" s="9"/>
      <c r="AI46" s="9"/>
    </row>
    <row r="47" spans="2:35" x14ac:dyDescent="0.25">
      <c r="Q47" s="36"/>
      <c r="R47" s="36"/>
      <c r="V47" s="9"/>
      <c r="W47" s="9"/>
      <c r="X47" s="9"/>
      <c r="Y47" s="9"/>
      <c r="Z47" s="9"/>
      <c r="AA47" s="9"/>
      <c r="AB47" s="9"/>
      <c r="AC47" s="9"/>
      <c r="AD47" s="9"/>
      <c r="AE47" s="9"/>
      <c r="AF47" s="9"/>
      <c r="AG47" s="9"/>
      <c r="AH47" s="9"/>
      <c r="AI47" s="9"/>
    </row>
    <row r="48" spans="2:35" x14ac:dyDescent="0.25">
      <c r="Q48" s="36"/>
      <c r="R48" s="36"/>
      <c r="V48" s="9"/>
      <c r="W48" s="9"/>
      <c r="X48" s="9"/>
      <c r="Y48" s="9"/>
      <c r="Z48" s="9"/>
      <c r="AA48" s="9"/>
      <c r="AB48" s="9"/>
      <c r="AC48" s="9"/>
      <c r="AD48" s="9"/>
      <c r="AE48" s="9"/>
      <c r="AF48" s="9"/>
      <c r="AG48" s="9"/>
      <c r="AH48" s="9"/>
      <c r="AI48" s="9"/>
    </row>
    <row r="49" spans="22:35" x14ac:dyDescent="0.25">
      <c r="V49" s="9"/>
      <c r="W49" s="9"/>
      <c r="X49" s="9"/>
      <c r="Y49" s="9"/>
      <c r="Z49" s="9"/>
      <c r="AA49" s="415"/>
      <c r="AB49" s="415"/>
      <c r="AC49" s="9"/>
      <c r="AD49" s="9"/>
      <c r="AE49" s="9"/>
      <c r="AF49" s="9"/>
      <c r="AG49" s="9"/>
      <c r="AH49" s="9"/>
      <c r="AI49" s="9"/>
    </row>
    <row r="50" spans="22:35" x14ac:dyDescent="0.25">
      <c r="V50" s="122"/>
      <c r="W50" s="122"/>
      <c r="X50" s="122"/>
      <c r="Y50" s="122"/>
      <c r="Z50" s="122"/>
      <c r="AA50" s="122"/>
      <c r="AC50" s="122"/>
      <c r="AD50" s="122"/>
      <c r="AE50" s="122"/>
      <c r="AF50" s="122"/>
      <c r="AG50" s="122"/>
      <c r="AH50" s="122"/>
      <c r="AI50" s="122"/>
    </row>
    <row r="51" spans="22:35" x14ac:dyDescent="0.25">
      <c r="V51" s="122"/>
      <c r="W51" s="122"/>
      <c r="X51" s="122"/>
      <c r="Y51" s="122"/>
      <c r="Z51" s="122"/>
      <c r="AA51" s="122"/>
      <c r="AC51" s="122"/>
      <c r="AD51" s="122"/>
      <c r="AE51" s="122"/>
      <c r="AF51" s="122"/>
      <c r="AG51" s="122"/>
    </row>
    <row r="52" spans="22:35" x14ac:dyDescent="0.25">
      <c r="V52" s="122"/>
      <c r="W52" s="122"/>
      <c r="X52" s="122"/>
      <c r="Y52" s="122"/>
      <c r="Z52" s="122"/>
      <c r="AA52" s="122"/>
      <c r="AC52" s="122"/>
      <c r="AD52" s="122"/>
      <c r="AE52" s="122"/>
      <c r="AF52" s="122"/>
      <c r="AG52" s="122"/>
      <c r="AH52" s="122"/>
      <c r="AI52" s="122"/>
    </row>
    <row r="53" spans="22:35" x14ac:dyDescent="0.25">
      <c r="V53" s="122"/>
      <c r="W53" s="122"/>
      <c r="X53" s="122"/>
      <c r="Y53" s="122"/>
      <c r="Z53" s="122"/>
      <c r="AA53" s="122"/>
      <c r="AC53" s="122"/>
      <c r="AD53" s="122"/>
      <c r="AE53" s="122"/>
      <c r="AF53" s="122"/>
      <c r="AG53" s="122"/>
    </row>
    <row r="54" spans="22:35" s="122" customFormat="1" x14ac:dyDescent="0.25"/>
    <row r="55" spans="22:35" s="122" customFormat="1" hidden="1" x14ac:dyDescent="0.25"/>
    <row r="56" spans="22:35" hidden="1" x14ac:dyDescent="0.25">
      <c r="W56" s="202" t="s">
        <v>59</v>
      </c>
      <c r="X56" s="201">
        <f>C20+X34</f>
        <v>0</v>
      </c>
      <c r="Y56" s="122"/>
      <c r="Z56" s="122"/>
      <c r="AA56" s="122"/>
      <c r="AC56" s="122"/>
      <c r="AD56" s="202" t="s">
        <v>59</v>
      </c>
      <c r="AE56" s="201">
        <f>C20+AE34</f>
        <v>0</v>
      </c>
      <c r="AF56" s="122"/>
      <c r="AG56" s="122"/>
    </row>
    <row r="57" spans="22:35" hidden="1" x14ac:dyDescent="0.25">
      <c r="W57" s="122"/>
      <c r="X57" s="122"/>
      <c r="Y57" s="122"/>
      <c r="Z57" s="122"/>
      <c r="AA57" s="122"/>
      <c r="AC57" s="122"/>
      <c r="AD57" s="122"/>
      <c r="AE57" s="122"/>
      <c r="AF57" s="122"/>
      <c r="AG57" s="122"/>
    </row>
    <row r="58" spans="22:35" hidden="1" x14ac:dyDescent="0.25">
      <c r="W58" s="35" t="s">
        <v>116</v>
      </c>
      <c r="X58" s="122"/>
      <c r="Y58" s="122"/>
      <c r="Z58" s="122"/>
      <c r="AA58" s="122"/>
      <c r="AC58" s="122"/>
      <c r="AD58" s="35" t="s">
        <v>116</v>
      </c>
      <c r="AE58" s="122"/>
      <c r="AF58" s="122"/>
      <c r="AG58" s="122"/>
    </row>
    <row r="59" spans="22:35" hidden="1" x14ac:dyDescent="0.25">
      <c r="W59" s="80"/>
      <c r="X59" s="81" t="s">
        <v>1</v>
      </c>
      <c r="Y59" s="156" t="s">
        <v>110</v>
      </c>
      <c r="Z59" s="82" t="s">
        <v>120</v>
      </c>
      <c r="AA59" s="122"/>
      <c r="AC59" s="122"/>
      <c r="AD59" s="80"/>
      <c r="AE59" s="81" t="s">
        <v>1</v>
      </c>
      <c r="AF59" s="156" t="s">
        <v>110</v>
      </c>
      <c r="AG59" s="82" t="s">
        <v>120</v>
      </c>
    </row>
    <row r="60" spans="22:35" hidden="1" x14ac:dyDescent="0.25">
      <c r="W60" s="83" t="s">
        <v>111</v>
      </c>
      <c r="X60" s="86"/>
      <c r="Y60" s="155">
        <f>D36</f>
        <v>2</v>
      </c>
      <c r="Z60" s="118">
        <f t="shared" ref="Z60:Z61" si="23">X60*Y60</f>
        <v>0</v>
      </c>
      <c r="AA60" s="122"/>
      <c r="AC60" s="122"/>
      <c r="AD60" s="83" t="s">
        <v>111</v>
      </c>
      <c r="AE60" s="86"/>
      <c r="AF60" s="155">
        <f>D36</f>
        <v>2</v>
      </c>
      <c r="AG60" s="118">
        <f t="shared" ref="AG60:AG61" si="24">AE60*AF60</f>
        <v>0</v>
      </c>
    </row>
    <row r="61" spans="22:35" hidden="1" x14ac:dyDescent="0.25">
      <c r="W61" s="84" t="s">
        <v>115</v>
      </c>
      <c r="X61" s="88">
        <f>Lähtötiedot!O35</f>
        <v>0</v>
      </c>
      <c r="Y61" s="62">
        <f>D37</f>
        <v>1</v>
      </c>
      <c r="Z61" s="77">
        <f t="shared" si="23"/>
        <v>0</v>
      </c>
      <c r="AA61" s="122"/>
      <c r="AC61" s="122"/>
      <c r="AD61" s="84" t="s">
        <v>115</v>
      </c>
      <c r="AE61" s="88">
        <f>Lähtötiedot!S35</f>
        <v>0</v>
      </c>
      <c r="AF61" s="62">
        <f>D37</f>
        <v>1</v>
      </c>
      <c r="AG61" s="77">
        <f t="shared" si="24"/>
        <v>0</v>
      </c>
    </row>
    <row r="62" spans="22:35" hidden="1" x14ac:dyDescent="0.25">
      <c r="W62" s="84" t="s">
        <v>227</v>
      </c>
      <c r="X62" s="88" t="e">
        <f>Lähtötiedot!O53</f>
        <v>#DIV/0!</v>
      </c>
      <c r="Y62" s="62">
        <f>AM30</f>
        <v>1.5</v>
      </c>
      <c r="Z62" s="77" t="e">
        <f>X62*Y62</f>
        <v>#DIV/0!</v>
      </c>
      <c r="AA62" s="122"/>
      <c r="AC62" s="122"/>
      <c r="AD62" s="84" t="s">
        <v>227</v>
      </c>
      <c r="AE62" s="88" t="e">
        <f ca="1">Lähtötiedot!S54</f>
        <v>#N/A</v>
      </c>
      <c r="AF62" s="62">
        <f>Y62</f>
        <v>1.5</v>
      </c>
      <c r="AG62" s="77" t="e">
        <f ca="1">AE62*AF62</f>
        <v>#N/A</v>
      </c>
    </row>
    <row r="63" spans="22:35" hidden="1" x14ac:dyDescent="0.25">
      <c r="W63" s="84" t="s">
        <v>182</v>
      </c>
      <c r="X63" s="39" t="e">
        <f ca="1">Lähtötiedot!O44/Lähtötiedot!O49</f>
        <v>#N/A</v>
      </c>
      <c r="Y63" s="62">
        <f>D39</f>
        <v>1</v>
      </c>
      <c r="Z63" s="77" t="e">
        <f ca="1">X63*Y63</f>
        <v>#N/A</v>
      </c>
      <c r="AA63" s="122"/>
      <c r="AC63" s="122"/>
      <c r="AD63" s="84" t="s">
        <v>182</v>
      </c>
      <c r="AE63" s="39" t="e">
        <f ca="1">Lähtötiedot!T42</f>
        <v>#N/A</v>
      </c>
      <c r="AF63" s="62">
        <f>D39</f>
        <v>1</v>
      </c>
      <c r="AG63" s="77" t="e">
        <f ca="1">AE63*AF63</f>
        <v>#N/A</v>
      </c>
    </row>
    <row r="64" spans="22:35" hidden="1" x14ac:dyDescent="0.25">
      <c r="W64" s="84" t="s">
        <v>57</v>
      </c>
      <c r="X64" s="88">
        <f>Lähtötiedot!O43</f>
        <v>0</v>
      </c>
      <c r="Y64" s="62">
        <f>D40</f>
        <v>1</v>
      </c>
      <c r="Z64" s="77">
        <f>X64*Y64</f>
        <v>0</v>
      </c>
      <c r="AA64" s="122"/>
      <c r="AC64" s="122"/>
      <c r="AD64" s="84" t="s">
        <v>57</v>
      </c>
      <c r="AE64" s="88">
        <f>Lähtötiedot!T41</f>
        <v>0</v>
      </c>
      <c r="AF64" s="62">
        <f>D40</f>
        <v>1</v>
      </c>
      <c r="AG64" s="77">
        <f>AE64*AF64</f>
        <v>0</v>
      </c>
    </row>
    <row r="65" spans="23:33" hidden="1" x14ac:dyDescent="0.25">
      <c r="W65" s="84" t="s">
        <v>58</v>
      </c>
      <c r="X65" s="88" t="e">
        <f ca="1">Lähtötiedot!O45/Lähtötiedot!O49</f>
        <v>#N/A</v>
      </c>
      <c r="Y65" s="62">
        <f>D41</f>
        <v>0.6</v>
      </c>
      <c r="Z65" s="77" t="e">
        <f ca="1">X65*Y65</f>
        <v>#N/A</v>
      </c>
      <c r="AA65" s="122"/>
      <c r="AC65" s="122"/>
      <c r="AD65" s="84" t="s">
        <v>58</v>
      </c>
      <c r="AE65" s="88" t="e">
        <f ca="1">Lähtötiedot!T43</f>
        <v>#N/A</v>
      </c>
      <c r="AF65" s="62">
        <f>D41</f>
        <v>0.6</v>
      </c>
      <c r="AG65" s="77" t="e">
        <f ca="1">AE65*AF65</f>
        <v>#N/A</v>
      </c>
    </row>
    <row r="66" spans="23:33" hidden="1" x14ac:dyDescent="0.25">
      <c r="W66" s="84" t="s">
        <v>117</v>
      </c>
      <c r="X66" s="88" t="e">
        <f>Lähtötiedot!O40</f>
        <v>#DIV/0!</v>
      </c>
      <c r="Y66" s="62">
        <f>D42</f>
        <v>0.2</v>
      </c>
      <c r="Z66" s="77" t="e">
        <f>X66*Y66</f>
        <v>#DIV/0!</v>
      </c>
      <c r="AA66" s="122"/>
      <c r="AC66" s="122"/>
      <c r="AD66" s="84" t="s">
        <v>117</v>
      </c>
      <c r="AE66" s="88">
        <f>Lähtötiedot!S40</f>
        <v>0</v>
      </c>
      <c r="AF66" s="62">
        <f>D42</f>
        <v>0.2</v>
      </c>
      <c r="AG66" s="77">
        <f>AE66*AF66</f>
        <v>0</v>
      </c>
    </row>
    <row r="67" spans="23:33" hidden="1" x14ac:dyDescent="0.25">
      <c r="W67" s="85" t="s">
        <v>36</v>
      </c>
      <c r="X67" s="104" t="e">
        <f>SUM(X60:X65)</f>
        <v>#DIV/0!</v>
      </c>
      <c r="Y67" s="94"/>
      <c r="Z67" s="119" t="e">
        <f>SUM(Z60:Z66)</f>
        <v>#DIV/0!</v>
      </c>
      <c r="AA67" s="122"/>
      <c r="AC67" s="122"/>
      <c r="AD67" s="85" t="s">
        <v>36</v>
      </c>
      <c r="AE67" s="104" t="e">
        <f ca="1">SUM(AE60:AE65)</f>
        <v>#N/A</v>
      </c>
      <c r="AF67" s="94"/>
      <c r="AG67" s="119" t="e">
        <f ca="1">SUM(AG60:AG66)</f>
        <v>#N/A</v>
      </c>
    </row>
    <row r="68" spans="23:33" hidden="1" x14ac:dyDescent="0.25"/>
    <row r="71" spans="23:33" x14ac:dyDescent="0.25">
      <c r="W71" s="122"/>
      <c r="X71" s="122"/>
      <c r="Y71" s="122"/>
      <c r="Z71" s="122"/>
      <c r="AA71" s="122"/>
      <c r="AC71" s="122"/>
      <c r="AD71" s="122"/>
      <c r="AE71" s="122"/>
      <c r="AF71" s="122"/>
      <c r="AG71" s="122"/>
    </row>
    <row r="91" spans="34:35" x14ac:dyDescent="0.25">
      <c r="AH91" s="122"/>
      <c r="AI91" s="122"/>
    </row>
    <row r="92" spans="34:35" x14ac:dyDescent="0.25">
      <c r="AH92" s="122"/>
      <c r="AI92" s="122"/>
    </row>
  </sheetData>
  <sheetProtection algorithmName="SHA-512" hashValue="OntYwr2Y7nbV69r3MCrbmcMGhn+RQ1udMCDCObJgceeYCltZlq4EeI1/T6Dnsz6ji7z/R7FE0anyfHNaLspV1A==" saltValue="VStZ0SM4CsAuHmrZd8XFIw==" spinCount="100000" sheet="1" objects="1" scenarios="1"/>
  <mergeCells count="11">
    <mergeCell ref="C3:E3"/>
    <mergeCell ref="E23:F23"/>
    <mergeCell ref="E34:F34"/>
    <mergeCell ref="L23:M23"/>
    <mergeCell ref="L34:M34"/>
    <mergeCell ref="AE22:AF22"/>
    <mergeCell ref="X22:Y22"/>
    <mergeCell ref="S23:T23"/>
    <mergeCell ref="S34:T34"/>
    <mergeCell ref="AE35:AF35"/>
    <mergeCell ref="X35:Y35"/>
  </mergeCells>
  <pageMargins left="0.7" right="0.7" top="0.75" bottom="0.75" header="0.3" footer="0.3"/>
  <pageSetup paperSize="9" orientation="landscape"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47" r:id="rId4" name="Option Button 107">
              <controlPr defaultSize="0" autoFill="0" autoLine="0" autoPict="0">
                <anchor moveWithCells="1">
                  <from>
                    <xdr:col>2</xdr:col>
                    <xdr:colOff>342900</xdr:colOff>
                    <xdr:row>3</xdr:row>
                    <xdr:rowOff>0</xdr:rowOff>
                  </from>
                  <to>
                    <xdr:col>3</xdr:col>
                    <xdr:colOff>0</xdr:colOff>
                    <xdr:row>4</xdr:row>
                    <xdr:rowOff>28575</xdr:rowOff>
                  </to>
                </anchor>
              </controlPr>
            </control>
          </mc:Choice>
        </mc:AlternateContent>
        <mc:AlternateContent xmlns:mc="http://schemas.openxmlformats.org/markup-compatibility/2006">
          <mc:Choice Requires="x14">
            <control shapeId="10348" r:id="rId5" name="Option Button 108">
              <controlPr defaultSize="0" autoFill="0" autoLine="0" autoPict="0">
                <anchor moveWithCells="1">
                  <from>
                    <xdr:col>3</xdr:col>
                    <xdr:colOff>304800</xdr:colOff>
                    <xdr:row>3</xdr:row>
                    <xdr:rowOff>0</xdr:rowOff>
                  </from>
                  <to>
                    <xdr:col>3</xdr:col>
                    <xdr:colOff>685800</xdr:colOff>
                    <xdr:row>4</xdr:row>
                    <xdr:rowOff>28575</xdr:rowOff>
                  </to>
                </anchor>
              </controlPr>
            </control>
          </mc:Choice>
        </mc:AlternateContent>
        <mc:AlternateContent xmlns:mc="http://schemas.openxmlformats.org/markup-compatibility/2006">
          <mc:Choice Requires="x14">
            <control shapeId="10349" r:id="rId6" name="Option Button 109">
              <controlPr defaultSize="0" autoFill="0" autoLine="0" autoPict="0">
                <anchor moveWithCells="1">
                  <from>
                    <xdr:col>4</xdr:col>
                    <xdr:colOff>333375</xdr:colOff>
                    <xdr:row>3</xdr:row>
                    <xdr:rowOff>0</xdr:rowOff>
                  </from>
                  <to>
                    <xdr:col>4</xdr:col>
                    <xdr:colOff>714375</xdr:colOff>
                    <xdr:row>4</xdr:row>
                    <xdr:rowOff>28575</xdr:rowOff>
                  </to>
                </anchor>
              </controlPr>
            </control>
          </mc:Choice>
        </mc:AlternateContent>
        <mc:AlternateContent xmlns:mc="http://schemas.openxmlformats.org/markup-compatibility/2006">
          <mc:Choice Requires="x14">
            <control shapeId="10354" r:id="rId7" name="Scroll Bar 114">
              <controlPr defaultSize="0" autoPict="0">
                <anchor moveWithCells="1">
                  <from>
                    <xdr:col>24</xdr:col>
                    <xdr:colOff>9525</xdr:colOff>
                    <xdr:row>19</xdr:row>
                    <xdr:rowOff>180975</xdr:rowOff>
                  </from>
                  <to>
                    <xdr:col>26</xdr:col>
                    <xdr:colOff>0</xdr:colOff>
                    <xdr:row>20</xdr:row>
                    <xdr:rowOff>171450</xdr:rowOff>
                  </to>
                </anchor>
              </controlPr>
            </control>
          </mc:Choice>
        </mc:AlternateContent>
        <mc:AlternateContent xmlns:mc="http://schemas.openxmlformats.org/markup-compatibility/2006">
          <mc:Choice Requires="x14">
            <control shapeId="10355" r:id="rId8" name="Scroll Bar 115">
              <controlPr defaultSize="0" autoPict="0">
                <anchor moveWithCells="1">
                  <from>
                    <xdr:col>24</xdr:col>
                    <xdr:colOff>0</xdr:colOff>
                    <xdr:row>33</xdr:row>
                    <xdr:rowOff>0</xdr:rowOff>
                  </from>
                  <to>
                    <xdr:col>26</xdr:col>
                    <xdr:colOff>9525</xdr:colOff>
                    <xdr:row>33</xdr:row>
                    <xdr:rowOff>180975</xdr:rowOff>
                  </to>
                </anchor>
              </controlPr>
            </control>
          </mc:Choice>
        </mc:AlternateContent>
        <mc:AlternateContent xmlns:mc="http://schemas.openxmlformats.org/markup-compatibility/2006">
          <mc:Choice Requires="x14">
            <control shapeId="10356" r:id="rId9" name="Scroll Bar 116">
              <controlPr defaultSize="0" autoPict="0">
                <anchor moveWithCells="1">
                  <from>
                    <xdr:col>31</xdr:col>
                    <xdr:colOff>9525</xdr:colOff>
                    <xdr:row>20</xdr:row>
                    <xdr:rowOff>0</xdr:rowOff>
                  </from>
                  <to>
                    <xdr:col>33</xdr:col>
                    <xdr:colOff>0</xdr:colOff>
                    <xdr:row>20</xdr:row>
                    <xdr:rowOff>180975</xdr:rowOff>
                  </to>
                </anchor>
              </controlPr>
            </control>
          </mc:Choice>
        </mc:AlternateContent>
        <mc:AlternateContent xmlns:mc="http://schemas.openxmlformats.org/markup-compatibility/2006">
          <mc:Choice Requires="x14">
            <control shapeId="10357" r:id="rId10" name="Scroll Bar 117">
              <controlPr defaultSize="0" autoPict="0">
                <anchor moveWithCells="1">
                  <from>
                    <xdr:col>31</xdr:col>
                    <xdr:colOff>9525</xdr:colOff>
                    <xdr:row>33</xdr:row>
                    <xdr:rowOff>0</xdr:rowOff>
                  </from>
                  <to>
                    <xdr:col>33</xdr:col>
                    <xdr:colOff>19050</xdr:colOff>
                    <xdr:row>33</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8"/>
  <sheetViews>
    <sheetView zoomScaleNormal="100" workbookViewId="0">
      <selection activeCell="D5" sqref="D5"/>
    </sheetView>
  </sheetViews>
  <sheetFormatPr defaultRowHeight="15" x14ac:dyDescent="0.25"/>
  <cols>
    <col min="2" max="2" width="20.42578125" customWidth="1"/>
    <col min="3" max="3" width="13.5703125" bestFit="1" customWidth="1"/>
    <col min="4" max="4" width="11" bestFit="1" customWidth="1"/>
    <col min="5" max="5" width="10.140625" bestFit="1" customWidth="1"/>
    <col min="7" max="7" width="15.5703125" customWidth="1"/>
    <col min="8" max="8" width="10.7109375" customWidth="1"/>
    <col min="9" max="9" width="10" customWidth="1"/>
    <col min="11" max="11" width="20.85546875" customWidth="1"/>
    <col min="12" max="12" width="13.5703125" bestFit="1" customWidth="1"/>
    <col min="13" max="13" width="11" customWidth="1"/>
    <col min="14" max="14" width="10.140625" bestFit="1" customWidth="1"/>
    <col min="17" max="17" width="20.28515625" customWidth="1"/>
    <col min="18" max="18" width="13.5703125" bestFit="1" customWidth="1"/>
    <col min="19" max="19" width="11" bestFit="1" customWidth="1"/>
    <col min="20" max="20" width="10.140625" bestFit="1" customWidth="1"/>
    <col min="23" max="23" width="20.140625" customWidth="1"/>
    <col min="24" max="24" width="13.5703125" bestFit="1" customWidth="1"/>
    <col min="25" max="25" width="11" bestFit="1" customWidth="1"/>
    <col min="26" max="26" width="10.140625" bestFit="1" customWidth="1"/>
    <col min="29" max="29" width="19.85546875" customWidth="1"/>
    <col min="30" max="30" width="13.5703125" bestFit="1" customWidth="1"/>
    <col min="31" max="31" width="11" bestFit="1" customWidth="1"/>
    <col min="32" max="32" width="10.140625" bestFit="1" customWidth="1"/>
  </cols>
  <sheetData>
    <row r="1" spans="1:36" ht="15.75" x14ac:dyDescent="0.25">
      <c r="A1" s="296" t="s">
        <v>267</v>
      </c>
      <c r="B1" s="122"/>
      <c r="C1" s="122"/>
      <c r="D1" s="122"/>
      <c r="E1" s="122"/>
      <c r="K1" s="122"/>
      <c r="L1" s="122"/>
      <c r="M1" s="122"/>
      <c r="N1" s="122"/>
      <c r="Q1" s="203" t="s">
        <v>286</v>
      </c>
      <c r="R1" s="122"/>
      <c r="S1" s="122"/>
      <c r="T1" s="122"/>
      <c r="W1" s="203" t="s">
        <v>224</v>
      </c>
      <c r="X1" s="122"/>
      <c r="Y1" s="122"/>
      <c r="Z1" s="122"/>
      <c r="AC1" s="203" t="s">
        <v>224</v>
      </c>
      <c r="AD1" s="122"/>
      <c r="AE1" s="122"/>
      <c r="AF1" s="122"/>
    </row>
    <row r="2" spans="1:36" x14ac:dyDescent="0.25">
      <c r="B2" s="203" t="s">
        <v>41</v>
      </c>
      <c r="C2" s="122"/>
      <c r="D2" s="122"/>
      <c r="E2" s="122"/>
      <c r="K2" s="203" t="s">
        <v>285</v>
      </c>
      <c r="L2" s="122"/>
      <c r="M2" s="122"/>
      <c r="N2" s="122"/>
      <c r="Q2" s="203" t="s">
        <v>287</v>
      </c>
      <c r="R2" s="122"/>
      <c r="S2" s="122"/>
      <c r="T2" s="122"/>
      <c r="V2" s="9"/>
      <c r="W2" s="405" t="s">
        <v>225</v>
      </c>
      <c r="X2" s="9"/>
      <c r="Y2" s="9"/>
      <c r="Z2" s="9"/>
      <c r="AA2" s="9"/>
      <c r="AB2" s="9"/>
      <c r="AC2" s="405" t="s">
        <v>226</v>
      </c>
      <c r="AD2" s="9"/>
      <c r="AE2" s="9"/>
      <c r="AF2" s="9"/>
      <c r="AG2" s="9"/>
      <c r="AH2" s="9"/>
      <c r="AI2" s="9"/>
      <c r="AJ2" s="9"/>
    </row>
    <row r="3" spans="1:36" x14ac:dyDescent="0.25">
      <c r="G3" s="190" t="s">
        <v>145</v>
      </c>
      <c r="I3" s="122"/>
      <c r="Q3" s="122"/>
      <c r="R3" s="122"/>
      <c r="S3" s="122"/>
      <c r="T3" s="122"/>
      <c r="V3" s="9"/>
      <c r="W3" s="9"/>
      <c r="X3" s="9"/>
      <c r="Y3" s="9"/>
      <c r="Z3" s="9"/>
      <c r="AA3" s="9"/>
      <c r="AB3" s="9"/>
      <c r="AC3" s="9"/>
      <c r="AD3" s="9"/>
      <c r="AE3" s="9"/>
      <c r="AF3" s="9"/>
      <c r="AG3" s="9"/>
      <c r="AH3" s="9"/>
      <c r="AI3" s="9"/>
      <c r="AJ3" s="9"/>
    </row>
    <row r="4" spans="1:36" x14ac:dyDescent="0.25">
      <c r="B4" s="210" t="s">
        <v>60</v>
      </c>
      <c r="C4" s="209" t="s">
        <v>240</v>
      </c>
      <c r="D4" s="209" t="s">
        <v>241</v>
      </c>
      <c r="E4" s="209" t="s">
        <v>15</v>
      </c>
      <c r="G4" s="116"/>
      <c r="H4" s="175" t="s">
        <v>100</v>
      </c>
      <c r="I4" s="175" t="s">
        <v>234</v>
      </c>
      <c r="K4" s="210" t="s">
        <v>60</v>
      </c>
      <c r="L4" s="209" t="s">
        <v>240</v>
      </c>
      <c r="M4" s="209" t="s">
        <v>241</v>
      </c>
      <c r="N4" s="209" t="s">
        <v>15</v>
      </c>
      <c r="Q4" s="210" t="s">
        <v>60</v>
      </c>
      <c r="R4" s="209" t="s">
        <v>240</v>
      </c>
      <c r="S4" s="209" t="s">
        <v>241</v>
      </c>
      <c r="T4" s="209" t="s">
        <v>15</v>
      </c>
      <c r="V4" s="9"/>
      <c r="W4" s="505" t="s">
        <v>60</v>
      </c>
      <c r="X4" s="406" t="s">
        <v>240</v>
      </c>
      <c r="Y4" s="406" t="s">
        <v>241</v>
      </c>
      <c r="Z4" s="406" t="s">
        <v>15</v>
      </c>
      <c r="AA4" s="9"/>
      <c r="AB4" s="9"/>
      <c r="AC4" s="505" t="s">
        <v>60</v>
      </c>
      <c r="AD4" s="406" t="s">
        <v>240</v>
      </c>
      <c r="AE4" s="406" t="s">
        <v>241</v>
      </c>
      <c r="AF4" s="406" t="s">
        <v>15</v>
      </c>
      <c r="AG4" s="9"/>
      <c r="AH4" s="9"/>
      <c r="AI4" s="9"/>
      <c r="AJ4" s="9"/>
    </row>
    <row r="5" spans="1:36" x14ac:dyDescent="0.25">
      <c r="B5" s="209">
        <f>Ruokinta!D68</f>
        <v>0</v>
      </c>
      <c r="C5" s="244">
        <f>Ruokinta!L68</f>
        <v>0</v>
      </c>
      <c r="D5" s="441" t="b">
        <f>IF(B5="Säilörehu",$I$5,IF(B5="Laidun",$I$6,IF(B5="Heinä",$I$7,IF(B5="Ohra",$I$8,IF(B5="Kaura",$I$9,IF(B5="Vehnä",$I$10,IF(B5="Rypsi",$I$11,IF(B5="Härkäpapu",$I$12,IF(B5="Ohra-Kaura",$I$13,IF(B5="Herne",$I$14,IF(B5="Herne-Kaura",$I$15)))))))))))</f>
        <v>0</v>
      </c>
      <c r="E5" s="243">
        <f t="shared" ref="E5:E6" ca="1" si="0">IF(CELL("tyyppi",D5)="a",0,C5*D5)</f>
        <v>0</v>
      </c>
      <c r="G5" s="116" t="s">
        <v>9</v>
      </c>
      <c r="H5" s="176">
        <v>3.1E-2</v>
      </c>
      <c r="I5" s="176">
        <f>H5/250*1000</f>
        <v>0.124</v>
      </c>
      <c r="K5" s="209">
        <f>B5</f>
        <v>0</v>
      </c>
      <c r="L5" s="244">
        <f>Ruokinta!AD68</f>
        <v>0</v>
      </c>
      <c r="M5" s="257" t="b">
        <f>D5</f>
        <v>0</v>
      </c>
      <c r="N5" s="243">
        <f>L5*M5</f>
        <v>0</v>
      </c>
      <c r="Q5" s="209">
        <f>Ruokinta!AJ68</f>
        <v>0</v>
      </c>
      <c r="R5" s="244">
        <f>Ruokinta!AR68</f>
        <v>0</v>
      </c>
      <c r="S5" s="257" t="b">
        <f>M5</f>
        <v>0</v>
      </c>
      <c r="T5" s="243">
        <f>R5*S5</f>
        <v>0</v>
      </c>
      <c r="V5" s="9"/>
      <c r="W5" s="406">
        <f>Ruokinta!AX68</f>
        <v>0</v>
      </c>
      <c r="X5" s="535">
        <f>Ruokinta!BF68</f>
        <v>0</v>
      </c>
      <c r="Y5" s="536" t="b">
        <f>IF(W5="Säilörehu",$I$5,IF(W5="Laidun",$I$6,IF(W5="Heinä",$I$7,IF(W5="Ohra",$I$8,IF(W5="Kaura",$I$9,IF(W5="Vehnä",$I$10,IF(W5="Rypsi",$I$11,IF(W5="Härkäpapu",$I$12,IF(W5="Ohra-Kaura",$I$13,IF(W5="Herne",$I$14,IF(W5="Herne-Kaura",$I$15)))))))))))</f>
        <v>0</v>
      </c>
      <c r="Z5" s="407">
        <f t="shared" ref="Z5:Z11" ca="1" si="1">IF(CELL("tyyppi",Y5)="a",0,X5*Y5)</f>
        <v>0</v>
      </c>
      <c r="AA5" s="9"/>
      <c r="AB5" s="9"/>
      <c r="AC5" s="406">
        <f>Ruokinta!BL68</f>
        <v>0</v>
      </c>
      <c r="AD5" s="535">
        <f>Ruokinta!BT68</f>
        <v>0</v>
      </c>
      <c r="AE5" s="536" t="b">
        <f>IF(AC5="Säilörehu",$I$5,IF(AC5="Laidun",$I$6,IF(AC5="Heinä",$I$7,IF(AC5="Ohra",$I$8,IF(AC5="Kaura",$I$9,IF(AC5="Vehnä",$I$10,IF(AC5="Rypsi",$I$11,IF(AC5="Härkäpapu",$I$12,IF(AC5="Ohra-Kaura",$I$13,IF(AC5="Herne",$I$14,IF(AC5="Herne-Kaura",$I$15)))))))))))</f>
        <v>0</v>
      </c>
      <c r="AF5" s="407">
        <f>AD5*AE5</f>
        <v>0</v>
      </c>
      <c r="AG5" s="9"/>
      <c r="AH5" s="9"/>
      <c r="AI5" s="9"/>
      <c r="AJ5" s="9"/>
    </row>
    <row r="6" spans="1:36" s="37" customFormat="1" x14ac:dyDescent="0.25">
      <c r="B6" s="209">
        <f>Ruokinta!D69</f>
        <v>0</v>
      </c>
      <c r="C6" s="244">
        <f>Ruokinta!L69</f>
        <v>0</v>
      </c>
      <c r="D6" s="441" t="b">
        <f t="shared" ref="D6:D11" si="2">IF(B6="Säilörehu",$I$5,IF(B6="Laidun",$I$6,IF(B6="Heinä",$I$7,IF(B6="Ohra",$I$8,IF(B6="Kaura",$I$9,IF(B6="Vehnä",$I$10,IF(B6="Rypsi",$I$11,IF(B6="Härkäpapu",$I$12,IF(B6="Ohra-Kaura",$I$13,IF(B6="Herne",$I$14,IF(B6="Herne-Kaura",$I$15)))))))))))</f>
        <v>0</v>
      </c>
      <c r="E6" s="243">
        <f t="shared" ca="1" si="0"/>
        <v>0</v>
      </c>
      <c r="G6" s="116" t="s">
        <v>10</v>
      </c>
      <c r="H6" s="176">
        <v>2.0199999999999999E-2</v>
      </c>
      <c r="I6" s="176">
        <f>H6/200*1000</f>
        <v>0.10100000000000001</v>
      </c>
      <c r="K6" s="209">
        <f t="shared" ref="K6:K11" si="3">B6</f>
        <v>0</v>
      </c>
      <c r="L6" s="244">
        <f>Ruokinta!AD69</f>
        <v>0</v>
      </c>
      <c r="M6" s="257" t="b">
        <f t="shared" ref="M6:M11" si="4">D6</f>
        <v>0</v>
      </c>
      <c r="N6" s="243">
        <f>L6*M6</f>
        <v>0</v>
      </c>
      <c r="Q6" s="209">
        <f>Ruokinta!AJ69</f>
        <v>0</v>
      </c>
      <c r="R6" s="244">
        <f>Ruokinta!AR69</f>
        <v>0</v>
      </c>
      <c r="S6" s="257" t="b">
        <f t="shared" ref="S6:S11" si="5">M6</f>
        <v>0</v>
      </c>
      <c r="T6" s="243">
        <f>R6*S6</f>
        <v>0</v>
      </c>
      <c r="V6" s="9"/>
      <c r="W6" s="406">
        <f>Ruokinta!AX69</f>
        <v>0</v>
      </c>
      <c r="X6" s="535">
        <f>Ruokinta!BF69</f>
        <v>0</v>
      </c>
      <c r="Y6" s="536" t="b">
        <f t="shared" ref="Y6:Y11" si="6">IF(W6="Säilörehu",$I$5,IF(W6="Laidun",$I$6,IF(W6="Heinä",$I$7,IF(W6="Ohra",$I$8,IF(W6="Kaura",$I$9,IF(W6="Vehnä",$I$10,IF(W6="Rypsi",$I$11,IF(W6="Härkäpapu",$I$12,IF(W6="Ohra-Kaura",$I$13,IF(W6="Herne",$I$14,IF(W6="Herne-Kaura",$I$15)))))))))))</f>
        <v>0</v>
      </c>
      <c r="Z6" s="407">
        <f t="shared" ca="1" si="1"/>
        <v>0</v>
      </c>
      <c r="AA6" s="9"/>
      <c r="AB6" s="9"/>
      <c r="AC6" s="406">
        <f>Ruokinta!BL69</f>
        <v>0</v>
      </c>
      <c r="AD6" s="535">
        <f>Ruokinta!BT69</f>
        <v>0</v>
      </c>
      <c r="AE6" s="536" t="b">
        <f t="shared" ref="AE6:AE11" si="7">IF(AC6="Säilörehu",$I$5,IF(AC6="Laidun",$I$6,IF(AC6="Heinä",$I$7,IF(AC6="Ohra",$I$8,IF(AC6="Kaura",$I$9,IF(AC6="Vehnä",$I$10,IF(AC6="Rypsi",$I$11,IF(AC6="Härkäpapu",$I$12,IF(AC6="Ohra-Kaura",$I$13,IF(AC6="Herne",$I$14,IF(AC6="Herne-Kaura",$I$15)))))))))))</f>
        <v>0</v>
      </c>
      <c r="AF6" s="407">
        <f>AD6*AE6</f>
        <v>0</v>
      </c>
      <c r="AG6" s="9"/>
      <c r="AH6" s="9"/>
      <c r="AI6" s="9"/>
      <c r="AJ6" s="9"/>
    </row>
    <row r="7" spans="1:36" x14ac:dyDescent="0.25">
      <c r="B7" s="209">
        <f>Ruokinta!D70</f>
        <v>0</v>
      </c>
      <c r="C7" s="244">
        <f>Ruokinta!L70</f>
        <v>0</v>
      </c>
      <c r="D7" s="441" t="b">
        <f t="shared" si="2"/>
        <v>0</v>
      </c>
      <c r="E7" s="243">
        <f ca="1">IF(CELL("tyyppi",D7)="a",0,C7*D7)</f>
        <v>0</v>
      </c>
      <c r="G7" s="116" t="s">
        <v>113</v>
      </c>
      <c r="H7" s="176">
        <v>0.11799999999999999</v>
      </c>
      <c r="I7" s="176">
        <f>H7/860*1000</f>
        <v>0.13720930232558137</v>
      </c>
      <c r="K7" s="209">
        <f t="shared" si="3"/>
        <v>0</v>
      </c>
      <c r="L7" s="244">
        <f>Ruokinta!AD70</f>
        <v>0</v>
      </c>
      <c r="M7" s="257" t="b">
        <f t="shared" si="4"/>
        <v>0</v>
      </c>
      <c r="N7" s="243">
        <f t="shared" ref="N7:N11" si="8">L7*M7</f>
        <v>0</v>
      </c>
      <c r="Q7" s="209">
        <f>Ruokinta!AJ70</f>
        <v>0</v>
      </c>
      <c r="R7" s="244">
        <f>Ruokinta!AR70</f>
        <v>0</v>
      </c>
      <c r="S7" s="257" t="b">
        <f t="shared" si="5"/>
        <v>0</v>
      </c>
      <c r="T7" s="243">
        <f t="shared" ref="T7:T11" si="9">R7*S7</f>
        <v>0</v>
      </c>
      <c r="V7" s="9"/>
      <c r="W7" s="406">
        <f>Ruokinta!AX70</f>
        <v>0</v>
      </c>
      <c r="X7" s="535">
        <f>Ruokinta!BF70</f>
        <v>0</v>
      </c>
      <c r="Y7" s="536" t="b">
        <f t="shared" si="6"/>
        <v>0</v>
      </c>
      <c r="Z7" s="407">
        <f t="shared" ca="1" si="1"/>
        <v>0</v>
      </c>
      <c r="AA7" s="9"/>
      <c r="AB7" s="9"/>
      <c r="AC7" s="406">
        <f>Ruokinta!BL70</f>
        <v>0</v>
      </c>
      <c r="AD7" s="535">
        <f>Ruokinta!BT70</f>
        <v>0</v>
      </c>
      <c r="AE7" s="536" t="b">
        <f t="shared" si="7"/>
        <v>0</v>
      </c>
      <c r="AF7" s="407">
        <f t="shared" ref="AF7:AF11" si="10">AD7*AE7</f>
        <v>0</v>
      </c>
      <c r="AG7" s="9"/>
      <c r="AH7" s="9"/>
      <c r="AI7" s="9"/>
      <c r="AJ7" s="9"/>
    </row>
    <row r="8" spans="1:36" x14ac:dyDescent="0.25">
      <c r="B8" s="209">
        <f>Ruokinta!D71</f>
        <v>0</v>
      </c>
      <c r="C8" s="244">
        <f>Ruokinta!L71</f>
        <v>0</v>
      </c>
      <c r="D8" s="441" t="b">
        <f t="shared" si="2"/>
        <v>0</v>
      </c>
      <c r="E8" s="243">
        <f t="shared" ref="E8:E10" ca="1" si="11">IF(CELL("tyyppi",D8)="a",0,C8*D8)</f>
        <v>0</v>
      </c>
      <c r="G8" s="116" t="s">
        <v>11</v>
      </c>
      <c r="H8" s="176">
        <v>0.14000000000000001</v>
      </c>
      <c r="I8" s="176">
        <f>H8/860*1000</f>
        <v>0.16279069767441862</v>
      </c>
      <c r="K8" s="209">
        <f t="shared" si="3"/>
        <v>0</v>
      </c>
      <c r="L8" s="244">
        <f>Ruokinta!AD71</f>
        <v>0</v>
      </c>
      <c r="M8" s="257" t="b">
        <f t="shared" si="4"/>
        <v>0</v>
      </c>
      <c r="N8" s="243">
        <f t="shared" si="8"/>
        <v>0</v>
      </c>
      <c r="Q8" s="209">
        <f>Ruokinta!AJ71</f>
        <v>0</v>
      </c>
      <c r="R8" s="244">
        <f>Ruokinta!AR71</f>
        <v>0</v>
      </c>
      <c r="S8" s="257" t="b">
        <f t="shared" si="5"/>
        <v>0</v>
      </c>
      <c r="T8" s="243">
        <f t="shared" si="9"/>
        <v>0</v>
      </c>
      <c r="V8" s="9"/>
      <c r="W8" s="406">
        <f>Ruokinta!AX71</f>
        <v>0</v>
      </c>
      <c r="X8" s="535">
        <f>Ruokinta!BF71</f>
        <v>0</v>
      </c>
      <c r="Y8" s="536" t="b">
        <f t="shared" si="6"/>
        <v>0</v>
      </c>
      <c r="Z8" s="407">
        <f t="shared" ca="1" si="1"/>
        <v>0</v>
      </c>
      <c r="AA8" s="9"/>
      <c r="AB8" s="9"/>
      <c r="AC8" s="406">
        <f>Ruokinta!BL71</f>
        <v>0</v>
      </c>
      <c r="AD8" s="535">
        <f>Ruokinta!BT71</f>
        <v>0</v>
      </c>
      <c r="AE8" s="536" t="b">
        <f t="shared" si="7"/>
        <v>0</v>
      </c>
      <c r="AF8" s="407">
        <f t="shared" si="10"/>
        <v>0</v>
      </c>
      <c r="AG8" s="9"/>
      <c r="AH8" s="9"/>
      <c r="AI8" s="9"/>
      <c r="AJ8" s="9"/>
    </row>
    <row r="9" spans="1:36" x14ac:dyDescent="0.25">
      <c r="B9" s="209">
        <f>Ruokinta!D72</f>
        <v>0</v>
      </c>
      <c r="C9" s="244">
        <f>Ruokinta!L72</f>
        <v>0</v>
      </c>
      <c r="D9" s="441" t="b">
        <f t="shared" si="2"/>
        <v>0</v>
      </c>
      <c r="E9" s="243">
        <f t="shared" ca="1" si="11"/>
        <v>0</v>
      </c>
      <c r="G9" s="116" t="s">
        <v>12</v>
      </c>
      <c r="H9" s="176">
        <v>0.13</v>
      </c>
      <c r="I9" s="176">
        <f>H9/860*1000</f>
        <v>0.15116279069767441</v>
      </c>
      <c r="K9" s="209">
        <f t="shared" si="3"/>
        <v>0</v>
      </c>
      <c r="L9" s="244">
        <f>Ruokinta!AD72</f>
        <v>0</v>
      </c>
      <c r="M9" s="257" t="b">
        <f t="shared" si="4"/>
        <v>0</v>
      </c>
      <c r="N9" s="243">
        <f t="shared" si="8"/>
        <v>0</v>
      </c>
      <c r="Q9" s="209">
        <f>Ruokinta!AJ72</f>
        <v>0</v>
      </c>
      <c r="R9" s="244">
        <f>Ruokinta!AR72</f>
        <v>0</v>
      </c>
      <c r="S9" s="257" t="b">
        <f t="shared" si="5"/>
        <v>0</v>
      </c>
      <c r="T9" s="243">
        <f t="shared" si="9"/>
        <v>0</v>
      </c>
      <c r="V9" s="9"/>
      <c r="W9" s="406">
        <f>Ruokinta!AX72</f>
        <v>0</v>
      </c>
      <c r="X9" s="535">
        <f>Ruokinta!BF72</f>
        <v>0</v>
      </c>
      <c r="Y9" s="536" t="b">
        <f t="shared" si="6"/>
        <v>0</v>
      </c>
      <c r="Z9" s="407">
        <f t="shared" ca="1" si="1"/>
        <v>0</v>
      </c>
      <c r="AA9" s="9"/>
      <c r="AB9" s="9"/>
      <c r="AC9" s="406">
        <f>Ruokinta!BL72</f>
        <v>0</v>
      </c>
      <c r="AD9" s="535">
        <f>Ruokinta!BT72</f>
        <v>0</v>
      </c>
      <c r="AE9" s="536" t="b">
        <f t="shared" si="7"/>
        <v>0</v>
      </c>
      <c r="AF9" s="407">
        <f t="shared" si="10"/>
        <v>0</v>
      </c>
      <c r="AG9" s="9"/>
      <c r="AH9" s="9"/>
      <c r="AI9" s="9"/>
      <c r="AJ9" s="9"/>
    </row>
    <row r="10" spans="1:36" x14ac:dyDescent="0.25">
      <c r="B10" s="209">
        <f>Ruokinta!D73</f>
        <v>0</v>
      </c>
      <c r="C10" s="244">
        <f>Ruokinta!L73</f>
        <v>0</v>
      </c>
      <c r="D10" s="441" t="b">
        <f t="shared" si="2"/>
        <v>0</v>
      </c>
      <c r="E10" s="243">
        <f t="shared" ca="1" si="11"/>
        <v>0</v>
      </c>
      <c r="G10" s="116" t="s">
        <v>237</v>
      </c>
      <c r="H10" s="176">
        <v>0.13400000000000001</v>
      </c>
      <c r="I10" s="176">
        <f>H10/860*1000</f>
        <v>0.15581395348837213</v>
      </c>
      <c r="K10" s="209">
        <f t="shared" si="3"/>
        <v>0</v>
      </c>
      <c r="L10" s="244">
        <f>Ruokinta!AD73</f>
        <v>0</v>
      </c>
      <c r="M10" s="257" t="b">
        <f t="shared" si="4"/>
        <v>0</v>
      </c>
      <c r="N10" s="243">
        <f t="shared" si="8"/>
        <v>0</v>
      </c>
      <c r="Q10" s="209">
        <f>Ruokinta!AJ73</f>
        <v>0</v>
      </c>
      <c r="R10" s="244">
        <f>Ruokinta!AR73</f>
        <v>0</v>
      </c>
      <c r="S10" s="257" t="b">
        <f t="shared" si="5"/>
        <v>0</v>
      </c>
      <c r="T10" s="243">
        <f t="shared" si="9"/>
        <v>0</v>
      </c>
      <c r="V10" s="9"/>
      <c r="W10" s="406">
        <f>Ruokinta!AX73</f>
        <v>0</v>
      </c>
      <c r="X10" s="535">
        <f>Ruokinta!BF73</f>
        <v>0</v>
      </c>
      <c r="Y10" s="536" t="b">
        <f t="shared" si="6"/>
        <v>0</v>
      </c>
      <c r="Z10" s="407">
        <f t="shared" ca="1" si="1"/>
        <v>0</v>
      </c>
      <c r="AA10" s="9"/>
      <c r="AB10" s="9"/>
      <c r="AC10" s="406">
        <f>Ruokinta!BL73</f>
        <v>0</v>
      </c>
      <c r="AD10" s="535">
        <f>Ruokinta!BT73</f>
        <v>0</v>
      </c>
      <c r="AE10" s="536" t="b">
        <f t="shared" si="7"/>
        <v>0</v>
      </c>
      <c r="AF10" s="407">
        <f t="shared" si="10"/>
        <v>0</v>
      </c>
      <c r="AG10" s="9"/>
      <c r="AH10" s="9"/>
      <c r="AI10" s="9"/>
      <c r="AJ10" s="9"/>
    </row>
    <row r="11" spans="1:36" ht="15.75" thickBot="1" x14ac:dyDescent="0.3">
      <c r="B11" s="264">
        <f>Ruokinta!D74</f>
        <v>0</v>
      </c>
      <c r="C11" s="265">
        <f>Ruokinta!L74</f>
        <v>0</v>
      </c>
      <c r="D11" s="441" t="b">
        <f t="shared" si="2"/>
        <v>0</v>
      </c>
      <c r="E11" s="266">
        <f t="shared" ref="E11:E21" si="12">C11*D11</f>
        <v>0</v>
      </c>
      <c r="G11" s="116" t="s">
        <v>114</v>
      </c>
      <c r="H11" s="176">
        <v>0.35</v>
      </c>
      <c r="I11" s="176">
        <f>H11/910*1000</f>
        <v>0.38461538461538464</v>
      </c>
      <c r="K11" s="264">
        <f t="shared" si="3"/>
        <v>0</v>
      </c>
      <c r="L11" s="265">
        <f>Ruokinta!AD74</f>
        <v>0</v>
      </c>
      <c r="M11" s="267" t="b">
        <f t="shared" si="4"/>
        <v>0</v>
      </c>
      <c r="N11" s="266">
        <f t="shared" si="8"/>
        <v>0</v>
      </c>
      <c r="Q11" s="264">
        <f>Ruokinta!AJ74</f>
        <v>0</v>
      </c>
      <c r="R11" s="265">
        <f>Ruokinta!AR74</f>
        <v>0</v>
      </c>
      <c r="S11" s="267" t="b">
        <f t="shared" si="5"/>
        <v>0</v>
      </c>
      <c r="T11" s="266">
        <f t="shared" si="9"/>
        <v>0</v>
      </c>
      <c r="V11" s="9"/>
      <c r="W11" s="537">
        <f>Ruokinta!AX74</f>
        <v>0</v>
      </c>
      <c r="X11" s="538">
        <f>Ruokinta!BF74</f>
        <v>0</v>
      </c>
      <c r="Y11" s="536" t="b">
        <f t="shared" si="6"/>
        <v>0</v>
      </c>
      <c r="Z11" s="407">
        <f t="shared" ca="1" si="1"/>
        <v>0</v>
      </c>
      <c r="AA11" s="9"/>
      <c r="AB11" s="9"/>
      <c r="AC11" s="537">
        <f>Ruokinta!BL74</f>
        <v>0</v>
      </c>
      <c r="AD11" s="538">
        <f>Ruokinta!BT74</f>
        <v>0</v>
      </c>
      <c r="AE11" s="536" t="b">
        <f t="shared" si="7"/>
        <v>0</v>
      </c>
      <c r="AF11" s="539">
        <f t="shared" si="10"/>
        <v>0</v>
      </c>
      <c r="AG11" s="9"/>
      <c r="AH11" s="9"/>
      <c r="AI11" s="9"/>
      <c r="AJ11" s="9"/>
    </row>
    <row r="12" spans="1:36" s="36" customFormat="1" x14ac:dyDescent="0.25">
      <c r="B12" s="85" t="s">
        <v>36</v>
      </c>
      <c r="C12" s="56"/>
      <c r="D12" s="56"/>
      <c r="E12" s="263">
        <f ca="1">SUM(E5:E11)</f>
        <v>0</v>
      </c>
      <c r="G12" s="116" t="s">
        <v>242</v>
      </c>
      <c r="H12" s="176">
        <v>0.19800000000000001</v>
      </c>
      <c r="I12" s="176">
        <f>H12/910*1000</f>
        <v>0.21758241758241759</v>
      </c>
      <c r="K12" s="85" t="s">
        <v>36</v>
      </c>
      <c r="L12" s="122"/>
      <c r="M12" s="122"/>
      <c r="N12" s="263">
        <f>SUM(N5:N11)</f>
        <v>0</v>
      </c>
      <c r="Q12" s="85" t="s">
        <v>36</v>
      </c>
      <c r="R12" s="122"/>
      <c r="S12" s="122"/>
      <c r="T12" s="263">
        <f>SUM(T5:T11)</f>
        <v>0</v>
      </c>
      <c r="V12" s="9"/>
      <c r="W12" s="512" t="s">
        <v>36</v>
      </c>
      <c r="X12" s="9"/>
      <c r="Y12" s="9"/>
      <c r="Z12" s="540">
        <f ca="1">SUM(Z5:Z11)</f>
        <v>0</v>
      </c>
      <c r="AA12" s="9"/>
      <c r="AB12" s="9"/>
      <c r="AC12" s="512" t="s">
        <v>36</v>
      </c>
      <c r="AD12" s="9"/>
      <c r="AE12" s="9"/>
      <c r="AF12" s="540">
        <f>SUM(AF5:AF11)</f>
        <v>0</v>
      </c>
      <c r="AG12" s="9"/>
      <c r="AH12" s="9"/>
      <c r="AI12" s="9"/>
      <c r="AJ12" s="9"/>
    </row>
    <row r="13" spans="1:36" s="37" customFormat="1" x14ac:dyDescent="0.25">
      <c r="C13" s="56"/>
      <c r="D13" s="56"/>
      <c r="G13" s="116" t="s">
        <v>273</v>
      </c>
      <c r="H13" s="176">
        <f>(H8+H9)/2</f>
        <v>0.13500000000000001</v>
      </c>
      <c r="I13" s="176">
        <f>H13/860*1000</f>
        <v>0.15697674418604651</v>
      </c>
      <c r="K13" s="122"/>
      <c r="L13" s="122"/>
      <c r="M13" s="122"/>
      <c r="N13" s="122"/>
      <c r="Q13" s="122"/>
      <c r="R13" s="122"/>
      <c r="S13" s="122"/>
      <c r="T13" s="122"/>
      <c r="V13" s="9"/>
      <c r="W13" s="9"/>
      <c r="X13" s="9"/>
      <c r="Y13" s="9"/>
      <c r="Z13" s="9"/>
      <c r="AA13" s="9"/>
      <c r="AB13" s="9"/>
      <c r="AC13" s="9"/>
      <c r="AD13" s="9"/>
      <c r="AE13" s="9"/>
      <c r="AF13" s="9"/>
      <c r="AG13" s="9"/>
      <c r="AH13" s="9"/>
      <c r="AI13" s="9"/>
      <c r="AJ13" s="9"/>
    </row>
    <row r="14" spans="1:36" s="37" customFormat="1" x14ac:dyDescent="0.25">
      <c r="G14" s="116" t="s">
        <v>292</v>
      </c>
      <c r="H14" s="176">
        <v>0.25</v>
      </c>
      <c r="I14" s="176">
        <f t="shared" ref="I14:I24" si="13">H14/860*1000</f>
        <v>0.29069767441860467</v>
      </c>
      <c r="K14" s="122"/>
      <c r="L14" s="122"/>
      <c r="M14" s="122"/>
      <c r="N14" s="122"/>
      <c r="Q14" s="122"/>
      <c r="R14" s="122"/>
      <c r="S14" s="122"/>
      <c r="T14" s="122"/>
      <c r="V14" s="9"/>
      <c r="W14" s="9"/>
      <c r="X14" s="9"/>
      <c r="Y14" s="9"/>
      <c r="Z14" s="9"/>
      <c r="AA14" s="9"/>
      <c r="AB14" s="9"/>
      <c r="AC14" s="9"/>
      <c r="AD14" s="9"/>
      <c r="AE14" s="9"/>
      <c r="AF14" s="9"/>
      <c r="AG14" s="9"/>
      <c r="AH14" s="9"/>
      <c r="AI14" s="9"/>
      <c r="AJ14" s="9"/>
    </row>
    <row r="15" spans="1:36" x14ac:dyDescent="0.25">
      <c r="B15" s="210" t="s">
        <v>21</v>
      </c>
      <c r="C15" s="209" t="s">
        <v>98</v>
      </c>
      <c r="D15" s="209" t="s">
        <v>118</v>
      </c>
      <c r="E15" s="209" t="s">
        <v>15</v>
      </c>
      <c r="G15" s="116" t="s">
        <v>293</v>
      </c>
      <c r="H15" s="176">
        <f>(H14+H9)/2</f>
        <v>0.19</v>
      </c>
      <c r="I15" s="176">
        <f t="shared" si="13"/>
        <v>0.22093023255813954</v>
      </c>
      <c r="K15" s="210" t="s">
        <v>21</v>
      </c>
      <c r="L15" s="209" t="s">
        <v>98</v>
      </c>
      <c r="M15" s="209" t="s">
        <v>118</v>
      </c>
      <c r="N15" s="209" t="s">
        <v>15</v>
      </c>
      <c r="Q15" s="210" t="s">
        <v>21</v>
      </c>
      <c r="R15" s="209" t="s">
        <v>98</v>
      </c>
      <c r="S15" s="209" t="s">
        <v>118</v>
      </c>
      <c r="T15" s="209" t="s">
        <v>15</v>
      </c>
      <c r="V15" s="9"/>
      <c r="W15" s="505" t="s">
        <v>21</v>
      </c>
      <c r="X15" s="406" t="s">
        <v>98</v>
      </c>
      <c r="Y15" s="406" t="s">
        <v>118</v>
      </c>
      <c r="Z15" s="406" t="s">
        <v>15</v>
      </c>
      <c r="AA15" s="9"/>
      <c r="AB15" s="9"/>
      <c r="AC15" s="505" t="s">
        <v>21</v>
      </c>
      <c r="AD15" s="406" t="s">
        <v>98</v>
      </c>
      <c r="AE15" s="406" t="s">
        <v>118</v>
      </c>
      <c r="AF15" s="406" t="s">
        <v>15</v>
      </c>
      <c r="AG15" s="9"/>
      <c r="AH15" s="9"/>
      <c r="AI15" s="9"/>
      <c r="AJ15" s="9"/>
    </row>
    <row r="16" spans="1:36" x14ac:dyDescent="0.25">
      <c r="B16" s="209">
        <f>Ruokinta!D91</f>
        <v>0</v>
      </c>
      <c r="C16" s="244">
        <f>Ruokinta!E91</f>
        <v>0</v>
      </c>
      <c r="D16" s="441"/>
      <c r="E16" s="243">
        <f t="shared" si="12"/>
        <v>0</v>
      </c>
      <c r="G16" s="116"/>
      <c r="H16" s="176"/>
      <c r="I16" s="176">
        <f t="shared" si="13"/>
        <v>0</v>
      </c>
      <c r="K16" s="209">
        <f>B16</f>
        <v>0</v>
      </c>
      <c r="L16" s="244">
        <f>C16</f>
        <v>0</v>
      </c>
      <c r="M16" s="257">
        <f>D16</f>
        <v>0</v>
      </c>
      <c r="N16" s="243">
        <f>L16*M16</f>
        <v>0</v>
      </c>
      <c r="Q16" s="209">
        <f>Ruokinta!AJ91</f>
        <v>0</v>
      </c>
      <c r="R16" s="244">
        <f>Ruokinta!AK91</f>
        <v>0</v>
      </c>
      <c r="S16" s="257">
        <f>M16</f>
        <v>0</v>
      </c>
      <c r="T16" s="243">
        <f t="shared" ref="T16:T21" si="14">R16*S16</f>
        <v>0</v>
      </c>
      <c r="V16" s="9"/>
      <c r="W16" s="406">
        <f>Ruokinta!AX91</f>
        <v>0</v>
      </c>
      <c r="X16" s="535">
        <f>Ruokinta!AY91</f>
        <v>0</v>
      </c>
      <c r="Y16" s="536">
        <f>S16</f>
        <v>0</v>
      </c>
      <c r="Z16" s="407">
        <f t="shared" ref="Z16:Z21" si="15">X16*Y16</f>
        <v>0</v>
      </c>
      <c r="AA16" s="9"/>
      <c r="AB16" s="9"/>
      <c r="AC16" s="406">
        <f>Ruokinta!BL91</f>
        <v>0</v>
      </c>
      <c r="AD16" s="535">
        <f>Ruokinta!BM91</f>
        <v>0</v>
      </c>
      <c r="AE16" s="536">
        <f>Y16</f>
        <v>0</v>
      </c>
      <c r="AF16" s="407">
        <f t="shared" ref="AF16:AF21" si="16">AD16*AE16</f>
        <v>0</v>
      </c>
      <c r="AG16" s="9"/>
      <c r="AH16" s="9"/>
      <c r="AI16" s="9"/>
      <c r="AJ16" s="9"/>
    </row>
    <row r="17" spans="2:36" x14ac:dyDescent="0.25">
      <c r="B17" s="209">
        <f>Ruokinta!D92</f>
        <v>0</v>
      </c>
      <c r="C17" s="244">
        <f>Ruokinta!E92</f>
        <v>0</v>
      </c>
      <c r="D17" s="441"/>
      <c r="E17" s="243">
        <f t="shared" si="12"/>
        <v>0</v>
      </c>
      <c r="G17" s="116"/>
      <c r="H17" s="176"/>
      <c r="I17" s="176">
        <f t="shared" si="13"/>
        <v>0</v>
      </c>
      <c r="K17" s="209">
        <f t="shared" ref="K17:K21" si="17">B17</f>
        <v>0</v>
      </c>
      <c r="L17" s="244">
        <f t="shared" ref="L17:L21" si="18">C17</f>
        <v>0</v>
      </c>
      <c r="M17" s="257">
        <f t="shared" ref="M17:M21" si="19">D17</f>
        <v>0</v>
      </c>
      <c r="N17" s="243">
        <f t="shared" ref="N17:N23" si="20">L17*M17</f>
        <v>0</v>
      </c>
      <c r="Q17" s="209">
        <f>Ruokinta!AJ92</f>
        <v>0</v>
      </c>
      <c r="R17" s="244">
        <f>Ruokinta!AK92</f>
        <v>0</v>
      </c>
      <c r="S17" s="257">
        <f t="shared" ref="S17:S23" si="21">M17</f>
        <v>0</v>
      </c>
      <c r="T17" s="243">
        <f t="shared" si="14"/>
        <v>0</v>
      </c>
      <c r="V17" s="9"/>
      <c r="W17" s="406">
        <f>Ruokinta!AX92</f>
        <v>0</v>
      </c>
      <c r="X17" s="535">
        <f>Ruokinta!AY92</f>
        <v>0</v>
      </c>
      <c r="Y17" s="536">
        <f t="shared" ref="Y17:Y23" si="22">S17</f>
        <v>0</v>
      </c>
      <c r="Z17" s="407">
        <f t="shared" si="15"/>
        <v>0</v>
      </c>
      <c r="AA17" s="9"/>
      <c r="AB17" s="9"/>
      <c r="AC17" s="406">
        <f>Ruokinta!BL92</f>
        <v>0</v>
      </c>
      <c r="AD17" s="535">
        <f>Ruokinta!BM92</f>
        <v>0</v>
      </c>
      <c r="AE17" s="536">
        <f t="shared" ref="AE17:AE21" si="23">Y17</f>
        <v>0</v>
      </c>
      <c r="AF17" s="407">
        <f t="shared" si="16"/>
        <v>0</v>
      </c>
      <c r="AG17" s="9"/>
      <c r="AH17" s="9"/>
      <c r="AI17" s="9"/>
      <c r="AJ17" s="9"/>
    </row>
    <row r="18" spans="2:36" x14ac:dyDescent="0.25">
      <c r="B18" s="209">
        <f>Ruokinta!D93</f>
        <v>0</v>
      </c>
      <c r="C18" s="244">
        <f>Ruokinta!E93</f>
        <v>0</v>
      </c>
      <c r="D18" s="441"/>
      <c r="E18" s="243">
        <f t="shared" si="12"/>
        <v>0</v>
      </c>
      <c r="G18" s="116"/>
      <c r="H18" s="176"/>
      <c r="I18" s="176">
        <f t="shared" si="13"/>
        <v>0</v>
      </c>
      <c r="K18" s="209">
        <f t="shared" si="17"/>
        <v>0</v>
      </c>
      <c r="L18" s="244">
        <f t="shared" si="18"/>
        <v>0</v>
      </c>
      <c r="M18" s="257">
        <f t="shared" si="19"/>
        <v>0</v>
      </c>
      <c r="N18" s="243">
        <f t="shared" si="20"/>
        <v>0</v>
      </c>
      <c r="Q18" s="209">
        <f>Ruokinta!AJ93</f>
        <v>0</v>
      </c>
      <c r="R18" s="244">
        <f>Ruokinta!AK93</f>
        <v>0</v>
      </c>
      <c r="S18" s="257">
        <f t="shared" si="21"/>
        <v>0</v>
      </c>
      <c r="T18" s="243">
        <f t="shared" si="14"/>
        <v>0</v>
      </c>
      <c r="V18" s="9"/>
      <c r="W18" s="406">
        <f>Ruokinta!AX93</f>
        <v>0</v>
      </c>
      <c r="X18" s="535">
        <f>Ruokinta!AY93</f>
        <v>0</v>
      </c>
      <c r="Y18" s="536">
        <f t="shared" si="22"/>
        <v>0</v>
      </c>
      <c r="Z18" s="407">
        <f t="shared" si="15"/>
        <v>0</v>
      </c>
      <c r="AA18" s="9"/>
      <c r="AB18" s="9"/>
      <c r="AC18" s="406">
        <f>Ruokinta!BL93</f>
        <v>0</v>
      </c>
      <c r="AD18" s="535">
        <f>Ruokinta!BM93</f>
        <v>0</v>
      </c>
      <c r="AE18" s="536">
        <f t="shared" si="23"/>
        <v>0</v>
      </c>
      <c r="AF18" s="407">
        <f t="shared" si="16"/>
        <v>0</v>
      </c>
      <c r="AG18" s="9"/>
      <c r="AH18" s="9"/>
      <c r="AI18" s="9"/>
      <c r="AJ18" s="9"/>
    </row>
    <row r="19" spans="2:36" x14ac:dyDescent="0.25">
      <c r="B19" s="209">
        <f>Ruokinta!D94</f>
        <v>0</v>
      </c>
      <c r="C19" s="244">
        <f>Ruokinta!E94</f>
        <v>0</v>
      </c>
      <c r="D19" s="441"/>
      <c r="E19" s="243">
        <f t="shared" si="12"/>
        <v>0</v>
      </c>
      <c r="G19" s="116"/>
      <c r="H19" s="176"/>
      <c r="I19" s="176">
        <f t="shared" si="13"/>
        <v>0</v>
      </c>
      <c r="K19" s="209">
        <f t="shared" si="17"/>
        <v>0</v>
      </c>
      <c r="L19" s="244">
        <f t="shared" si="18"/>
        <v>0</v>
      </c>
      <c r="M19" s="257">
        <f t="shared" si="19"/>
        <v>0</v>
      </c>
      <c r="N19" s="243">
        <f t="shared" si="20"/>
        <v>0</v>
      </c>
      <c r="Q19" s="209">
        <f>Ruokinta!AJ94</f>
        <v>0</v>
      </c>
      <c r="R19" s="244">
        <f>Ruokinta!AK94</f>
        <v>0</v>
      </c>
      <c r="S19" s="257">
        <f t="shared" si="21"/>
        <v>0</v>
      </c>
      <c r="T19" s="243">
        <f t="shared" si="14"/>
        <v>0</v>
      </c>
      <c r="V19" s="9"/>
      <c r="W19" s="406">
        <f>Ruokinta!AX94</f>
        <v>0</v>
      </c>
      <c r="X19" s="535">
        <f>Ruokinta!AY94</f>
        <v>0</v>
      </c>
      <c r="Y19" s="536">
        <f t="shared" si="22"/>
        <v>0</v>
      </c>
      <c r="Z19" s="407">
        <f t="shared" si="15"/>
        <v>0</v>
      </c>
      <c r="AA19" s="9"/>
      <c r="AB19" s="9"/>
      <c r="AC19" s="406">
        <f>Ruokinta!BL94</f>
        <v>0</v>
      </c>
      <c r="AD19" s="535">
        <f>Ruokinta!BM94</f>
        <v>0</v>
      </c>
      <c r="AE19" s="536">
        <f t="shared" si="23"/>
        <v>0</v>
      </c>
      <c r="AF19" s="407">
        <f t="shared" si="16"/>
        <v>0</v>
      </c>
      <c r="AG19" s="9"/>
      <c r="AH19" s="9"/>
      <c r="AI19" s="9"/>
      <c r="AJ19" s="9"/>
    </row>
    <row r="20" spans="2:36" x14ac:dyDescent="0.25">
      <c r="B20" s="209">
        <f>Ruokinta!D95</f>
        <v>0</v>
      </c>
      <c r="C20" s="244">
        <f>Ruokinta!E95</f>
        <v>0</v>
      </c>
      <c r="D20" s="441"/>
      <c r="E20" s="243">
        <f t="shared" si="12"/>
        <v>0</v>
      </c>
      <c r="G20" s="116"/>
      <c r="H20" s="176"/>
      <c r="I20" s="176">
        <f t="shared" si="13"/>
        <v>0</v>
      </c>
      <c r="K20" s="209">
        <f t="shared" si="17"/>
        <v>0</v>
      </c>
      <c r="L20" s="244">
        <f t="shared" si="18"/>
        <v>0</v>
      </c>
      <c r="M20" s="257">
        <f t="shared" si="19"/>
        <v>0</v>
      </c>
      <c r="N20" s="243">
        <f t="shared" si="20"/>
        <v>0</v>
      </c>
      <c r="Q20" s="209">
        <f>Ruokinta!AJ95</f>
        <v>0</v>
      </c>
      <c r="R20" s="244">
        <f>Ruokinta!AK95</f>
        <v>0</v>
      </c>
      <c r="S20" s="257">
        <f t="shared" si="21"/>
        <v>0</v>
      </c>
      <c r="T20" s="243">
        <f t="shared" si="14"/>
        <v>0</v>
      </c>
      <c r="V20" s="9"/>
      <c r="W20" s="406">
        <f>Ruokinta!AX95</f>
        <v>0</v>
      </c>
      <c r="X20" s="535">
        <f>Ruokinta!AY95</f>
        <v>0</v>
      </c>
      <c r="Y20" s="536">
        <f t="shared" si="22"/>
        <v>0</v>
      </c>
      <c r="Z20" s="407">
        <f t="shared" si="15"/>
        <v>0</v>
      </c>
      <c r="AA20" s="9"/>
      <c r="AB20" s="9"/>
      <c r="AC20" s="406">
        <f>Ruokinta!BL95</f>
        <v>0</v>
      </c>
      <c r="AD20" s="535">
        <f>Ruokinta!BM95</f>
        <v>0</v>
      </c>
      <c r="AE20" s="536">
        <f t="shared" si="23"/>
        <v>0</v>
      </c>
      <c r="AF20" s="407">
        <f t="shared" si="16"/>
        <v>0</v>
      </c>
      <c r="AG20" s="9"/>
      <c r="AH20" s="9"/>
      <c r="AI20" s="9"/>
      <c r="AJ20" s="9"/>
    </row>
    <row r="21" spans="2:36" x14ac:dyDescent="0.25">
      <c r="B21" s="209">
        <f>Ruokinta!D96</f>
        <v>0</v>
      </c>
      <c r="C21" s="244">
        <f>Ruokinta!E96</f>
        <v>0</v>
      </c>
      <c r="D21" s="441"/>
      <c r="E21" s="243">
        <f t="shared" si="12"/>
        <v>0</v>
      </c>
      <c r="G21" s="116"/>
      <c r="H21" s="176"/>
      <c r="I21" s="176">
        <f t="shared" si="13"/>
        <v>0</v>
      </c>
      <c r="K21" s="209">
        <f t="shared" si="17"/>
        <v>0</v>
      </c>
      <c r="L21" s="244">
        <f t="shared" si="18"/>
        <v>0</v>
      </c>
      <c r="M21" s="257">
        <f t="shared" si="19"/>
        <v>0</v>
      </c>
      <c r="N21" s="243">
        <f t="shared" si="20"/>
        <v>0</v>
      </c>
      <c r="Q21" s="209">
        <f>Ruokinta!AJ96</f>
        <v>0</v>
      </c>
      <c r="R21" s="244">
        <f>Ruokinta!AK96</f>
        <v>0</v>
      </c>
      <c r="S21" s="257">
        <f t="shared" si="21"/>
        <v>0</v>
      </c>
      <c r="T21" s="243">
        <f t="shared" si="14"/>
        <v>0</v>
      </c>
      <c r="V21" s="9"/>
      <c r="W21" s="406">
        <f>Ruokinta!AX96</f>
        <v>0</v>
      </c>
      <c r="X21" s="535">
        <f>Ruokinta!AY96</f>
        <v>0</v>
      </c>
      <c r="Y21" s="536">
        <f t="shared" si="22"/>
        <v>0</v>
      </c>
      <c r="Z21" s="407">
        <f t="shared" si="15"/>
        <v>0</v>
      </c>
      <c r="AA21" s="9"/>
      <c r="AB21" s="9"/>
      <c r="AC21" s="406">
        <f>Ruokinta!BL96</f>
        <v>0</v>
      </c>
      <c r="AD21" s="535">
        <f>Ruokinta!BM96</f>
        <v>0</v>
      </c>
      <c r="AE21" s="536">
        <f t="shared" si="23"/>
        <v>0</v>
      </c>
      <c r="AF21" s="407">
        <f t="shared" si="16"/>
        <v>0</v>
      </c>
      <c r="AG21" s="9"/>
      <c r="AH21" s="9"/>
      <c r="AI21" s="9"/>
      <c r="AJ21" s="9"/>
    </row>
    <row r="22" spans="2:36" s="122" customFormat="1" x14ac:dyDescent="0.25">
      <c r="B22" s="272" t="str">
        <f>Ruokinta!D97</f>
        <v>Kivennäiset uuhet</v>
      </c>
      <c r="C22" s="244">
        <f>Ruokinta!E97</f>
        <v>0</v>
      </c>
      <c r="D22" s="441"/>
      <c r="E22" s="243">
        <f>C22*D22</f>
        <v>0</v>
      </c>
      <c r="G22" s="116"/>
      <c r="H22" s="176"/>
      <c r="I22" s="176">
        <f t="shared" si="13"/>
        <v>0</v>
      </c>
      <c r="K22" s="209" t="str">
        <f>Ruokinta!V97</f>
        <v>Kivennäiset uuhet</v>
      </c>
      <c r="L22" s="243" t="e">
        <f ca="1">Ruokinta!W97</f>
        <v>#N/A</v>
      </c>
      <c r="M22" s="257">
        <f>D22</f>
        <v>0</v>
      </c>
      <c r="N22" s="243" t="e">
        <f t="shared" ca="1" si="20"/>
        <v>#N/A</v>
      </c>
      <c r="Q22" s="209" t="str">
        <f>Ruokinta!AJ97</f>
        <v>Kivennäiset uuhet</v>
      </c>
      <c r="R22" s="243" t="e">
        <f ca="1">Ruokinta!AK97</f>
        <v>#N/A</v>
      </c>
      <c r="S22" s="257">
        <f t="shared" si="21"/>
        <v>0</v>
      </c>
      <c r="T22" s="243" t="e">
        <f ca="1">R22*S22</f>
        <v>#N/A</v>
      </c>
      <c r="V22" s="9"/>
      <c r="W22" s="406" t="str">
        <f>Ruokinta!AX97</f>
        <v>Kivennäiset uuhet</v>
      </c>
      <c r="X22" s="407" t="e">
        <f>Ruokinta!AY97</f>
        <v>#DIV/0!</v>
      </c>
      <c r="Y22" s="541">
        <f t="shared" si="22"/>
        <v>0</v>
      </c>
      <c r="Z22" s="407" t="e">
        <f>X22*Y22</f>
        <v>#DIV/0!</v>
      </c>
      <c r="AA22" s="9"/>
      <c r="AB22" s="9"/>
      <c r="AC22" s="406" t="str">
        <f>Ruokinta!BL97</f>
        <v>Kivennäiset uuhet</v>
      </c>
      <c r="AD22" s="407" t="e">
        <f ca="1">Ruokinta!BM97</f>
        <v>#N/A</v>
      </c>
      <c r="AE22" s="541">
        <f>Y22</f>
        <v>0</v>
      </c>
      <c r="AF22" s="407" t="e">
        <f ca="1">AD22*AE22</f>
        <v>#N/A</v>
      </c>
      <c r="AG22" s="9"/>
      <c r="AH22" s="9"/>
      <c r="AI22" s="9"/>
      <c r="AJ22" s="9"/>
    </row>
    <row r="23" spans="2:36" s="122" customFormat="1" ht="15.75" thickBot="1" x14ac:dyDescent="0.3">
      <c r="B23" s="305" t="str">
        <f>Ruokinta!AX217</f>
        <v>Kivennäiset karitsa</v>
      </c>
      <c r="C23" s="265">
        <f>Ruokinta!E98</f>
        <v>0</v>
      </c>
      <c r="D23" s="442"/>
      <c r="E23" s="266">
        <f>C23*D23</f>
        <v>0</v>
      </c>
      <c r="G23" s="116"/>
      <c r="H23" s="176"/>
      <c r="I23" s="176">
        <f t="shared" si="13"/>
        <v>0</v>
      </c>
      <c r="K23" s="264" t="str">
        <f>B23</f>
        <v>Kivennäiset karitsa</v>
      </c>
      <c r="L23" s="266" t="e">
        <f ca="1">Ruokinta!W98</f>
        <v>#N/A</v>
      </c>
      <c r="M23" s="267">
        <f>D23</f>
        <v>0</v>
      </c>
      <c r="N23" s="266" t="e">
        <f t="shared" ca="1" si="20"/>
        <v>#N/A</v>
      </c>
      <c r="Q23" s="264" t="str">
        <f>K23</f>
        <v>Kivennäiset karitsa</v>
      </c>
      <c r="R23" s="266" t="e">
        <f ca="1">Ruokinta!AK98</f>
        <v>#N/A</v>
      </c>
      <c r="S23" s="267">
        <f t="shared" si="21"/>
        <v>0</v>
      </c>
      <c r="T23" s="266" t="e">
        <f ca="1">R23*S23</f>
        <v>#N/A</v>
      </c>
      <c r="V23" s="9"/>
      <c r="W23" s="537" t="str">
        <f>Q23</f>
        <v>Kivennäiset karitsa</v>
      </c>
      <c r="X23" s="539" t="e">
        <f ca="1">Ruokinta!AY98</f>
        <v>#N/A</v>
      </c>
      <c r="Y23" s="542">
        <f t="shared" si="22"/>
        <v>0</v>
      </c>
      <c r="Z23" s="539" t="e">
        <f ca="1">X23*Y23</f>
        <v>#N/A</v>
      </c>
      <c r="AA23" s="9"/>
      <c r="AB23" s="9"/>
      <c r="AC23" s="537" t="str">
        <f>W23</f>
        <v>Kivennäiset karitsa</v>
      </c>
      <c r="AD23" s="539" t="e">
        <f ca="1">Ruokinta!BM98</f>
        <v>#N/A</v>
      </c>
      <c r="AE23" s="542">
        <f>Y23</f>
        <v>0</v>
      </c>
      <c r="AF23" s="539" t="e">
        <f ca="1">AD23*AE23</f>
        <v>#N/A</v>
      </c>
      <c r="AG23" s="9"/>
      <c r="AH23" s="9"/>
      <c r="AI23" s="9"/>
      <c r="AJ23" s="9"/>
    </row>
    <row r="24" spans="2:36" x14ac:dyDescent="0.25">
      <c r="B24" s="85" t="s">
        <v>36</v>
      </c>
      <c r="C24" s="56"/>
      <c r="D24" s="56"/>
      <c r="E24" s="263">
        <f>SUM(E16:E23)</f>
        <v>0</v>
      </c>
      <c r="G24" s="116"/>
      <c r="H24" s="177"/>
      <c r="I24" s="177">
        <f t="shared" si="13"/>
        <v>0</v>
      </c>
      <c r="K24" s="85" t="s">
        <v>36</v>
      </c>
      <c r="L24" s="122"/>
      <c r="M24" s="122"/>
      <c r="N24" s="263" t="e">
        <f ca="1">SUM(N16:N23)</f>
        <v>#N/A</v>
      </c>
      <c r="Q24" s="85" t="s">
        <v>36</v>
      </c>
      <c r="R24" s="122"/>
      <c r="S24" s="122"/>
      <c r="T24" s="263" t="e">
        <f ca="1">SUM(T16:T23)</f>
        <v>#N/A</v>
      </c>
      <c r="V24" s="9"/>
      <c r="W24" s="512" t="s">
        <v>36</v>
      </c>
      <c r="X24" s="9"/>
      <c r="Y24" s="9"/>
      <c r="Z24" s="540" t="e">
        <f>SUM(Z16:Z23)</f>
        <v>#DIV/0!</v>
      </c>
      <c r="AA24" s="9"/>
      <c r="AB24" s="9"/>
      <c r="AC24" s="512" t="s">
        <v>36</v>
      </c>
      <c r="AD24" s="9"/>
      <c r="AE24" s="9"/>
      <c r="AF24" s="540" t="e">
        <f ca="1">SUM(AF16:AF23)</f>
        <v>#N/A</v>
      </c>
      <c r="AG24" s="9"/>
      <c r="AH24" s="9"/>
      <c r="AI24" s="9"/>
      <c r="AJ24" s="9"/>
    </row>
    <row r="25" spans="2:36" x14ac:dyDescent="0.25">
      <c r="C25" s="56"/>
      <c r="D25" s="56"/>
      <c r="K25" s="122"/>
      <c r="L25" s="122"/>
      <c r="M25" s="122"/>
      <c r="N25" s="122"/>
      <c r="Q25" s="122"/>
      <c r="R25" s="122"/>
      <c r="S25" s="122"/>
      <c r="T25" s="122"/>
      <c r="V25" s="9"/>
      <c r="W25" s="9"/>
      <c r="X25" s="9"/>
      <c r="Y25" s="9"/>
      <c r="Z25" s="9"/>
      <c r="AA25" s="9"/>
      <c r="AB25" s="9"/>
      <c r="AC25" s="9"/>
      <c r="AD25" s="9"/>
      <c r="AE25" s="9"/>
      <c r="AF25" s="9"/>
      <c r="AG25" s="9"/>
      <c r="AH25" s="9"/>
      <c r="AI25" s="9"/>
      <c r="AJ25" s="9"/>
    </row>
    <row r="26" spans="2:36" x14ac:dyDescent="0.25">
      <c r="B26" s="377" t="s">
        <v>99</v>
      </c>
      <c r="C26" s="378"/>
      <c r="D26" s="379"/>
      <c r="E26" s="245">
        <f ca="1">E12+E24</f>
        <v>0</v>
      </c>
      <c r="K26" s="377" t="s">
        <v>99</v>
      </c>
      <c r="L26" s="378"/>
      <c r="M26" s="379"/>
      <c r="N26" s="245" t="e">
        <f ca="1">N12+N24</f>
        <v>#N/A</v>
      </c>
      <c r="Q26" s="377" t="s">
        <v>99</v>
      </c>
      <c r="R26" s="378"/>
      <c r="S26" s="379"/>
      <c r="T26" s="245" t="e">
        <f ca="1">T12+T24</f>
        <v>#N/A</v>
      </c>
      <c r="V26" s="9"/>
      <c r="W26" s="543" t="s">
        <v>99</v>
      </c>
      <c r="X26" s="544"/>
      <c r="Y26" s="545"/>
      <c r="Z26" s="466" t="e">
        <f ca="1">Z12+Z24</f>
        <v>#DIV/0!</v>
      </c>
      <c r="AA26" s="9"/>
      <c r="AB26" s="9"/>
      <c r="AC26" s="543" t="s">
        <v>99</v>
      </c>
      <c r="AD26" s="544"/>
      <c r="AE26" s="545"/>
      <c r="AF26" s="466" t="e">
        <f ca="1">AF12+AF24</f>
        <v>#N/A</v>
      </c>
      <c r="AG26" s="9"/>
      <c r="AH26" s="9"/>
      <c r="AI26" s="9"/>
      <c r="AJ26" s="9"/>
    </row>
    <row r="27" spans="2:36" ht="15.75" thickBot="1" x14ac:dyDescent="0.3">
      <c r="V27" s="9"/>
      <c r="W27" s="9"/>
      <c r="X27" s="9"/>
      <c r="Y27" s="9"/>
      <c r="Z27" s="9"/>
      <c r="AA27" s="9"/>
      <c r="AB27" s="9"/>
      <c r="AC27" s="9"/>
      <c r="AD27" s="9"/>
      <c r="AE27" s="9"/>
      <c r="AF27" s="9"/>
      <c r="AG27" s="9"/>
      <c r="AH27" s="9"/>
      <c r="AI27" s="9"/>
      <c r="AJ27" s="9"/>
    </row>
    <row r="28" spans="2:36" x14ac:dyDescent="0.25">
      <c r="V28" s="9"/>
      <c r="W28" s="546" t="s">
        <v>189</v>
      </c>
      <c r="X28" s="547"/>
      <c r="Y28" s="547"/>
      <c r="Z28" s="547"/>
      <c r="AA28" s="547"/>
      <c r="AB28" s="547"/>
      <c r="AC28" s="547"/>
      <c r="AD28" s="547"/>
      <c r="AE28" s="547"/>
      <c r="AF28" s="547"/>
      <c r="AG28" s="547"/>
      <c r="AH28" s="547"/>
      <c r="AI28" s="547"/>
      <c r="AJ28" s="548"/>
    </row>
    <row r="29" spans="2:36" x14ac:dyDescent="0.25">
      <c r="V29" s="9"/>
      <c r="W29" s="549"/>
      <c r="X29" s="550"/>
      <c r="Y29" s="550"/>
      <c r="Z29" s="550"/>
      <c r="AA29" s="550"/>
      <c r="AB29" s="550"/>
      <c r="AC29" s="550"/>
      <c r="AD29" s="550"/>
      <c r="AE29" s="550"/>
      <c r="AF29" s="550"/>
      <c r="AG29" s="550"/>
      <c r="AH29" s="550"/>
      <c r="AI29" s="550"/>
      <c r="AJ29" s="551"/>
    </row>
    <row r="30" spans="2:36" x14ac:dyDescent="0.25">
      <c r="V30" s="9"/>
      <c r="W30" s="549"/>
      <c r="X30" s="550"/>
      <c r="Y30" s="550"/>
      <c r="Z30" s="550"/>
      <c r="AA30" s="550"/>
      <c r="AB30" s="550"/>
      <c r="AC30" s="550"/>
      <c r="AD30" s="550"/>
      <c r="AE30" s="550"/>
      <c r="AF30" s="550"/>
      <c r="AG30" s="550"/>
      <c r="AH30" s="550"/>
      <c r="AI30" s="550"/>
      <c r="AJ30" s="551"/>
    </row>
    <row r="31" spans="2:36" x14ac:dyDescent="0.25">
      <c r="V31" s="9"/>
      <c r="W31" s="549"/>
      <c r="X31" s="550"/>
      <c r="Y31" s="550"/>
      <c r="Z31" s="550"/>
      <c r="AA31" s="550"/>
      <c r="AB31" s="550"/>
      <c r="AC31" s="550"/>
      <c r="AD31" s="550"/>
      <c r="AE31" s="550"/>
      <c r="AF31" s="550"/>
      <c r="AG31" s="550"/>
      <c r="AH31" s="550"/>
      <c r="AI31" s="550"/>
      <c r="AJ31" s="551"/>
    </row>
    <row r="32" spans="2:36" ht="15.75" thickBot="1" x14ac:dyDescent="0.3">
      <c r="V32" s="9"/>
      <c r="W32" s="552"/>
      <c r="X32" s="553"/>
      <c r="Y32" s="553"/>
      <c r="Z32" s="553"/>
      <c r="AA32" s="553"/>
      <c r="AB32" s="553"/>
      <c r="AC32" s="553"/>
      <c r="AD32" s="553"/>
      <c r="AE32" s="553"/>
      <c r="AF32" s="553"/>
      <c r="AG32" s="553"/>
      <c r="AH32" s="553"/>
      <c r="AI32" s="553"/>
      <c r="AJ32" s="554"/>
    </row>
    <row r="33" spans="22:36" ht="15.75" customHeight="1" x14ac:dyDescent="0.25">
      <c r="V33" s="9"/>
      <c r="W33" s="9"/>
      <c r="X33" s="9"/>
      <c r="Y33" s="9"/>
      <c r="Z33" s="9"/>
      <c r="AA33" s="9"/>
      <c r="AB33" s="9"/>
      <c r="AC33" s="9"/>
      <c r="AD33" s="9"/>
      <c r="AE33" s="9"/>
      <c r="AF33" s="9"/>
      <c r="AG33" s="9"/>
      <c r="AH33" s="9"/>
      <c r="AI33" s="9"/>
      <c r="AJ33" s="9"/>
    </row>
    <row r="34" spans="22:36" x14ac:dyDescent="0.25">
      <c r="V34" s="9"/>
      <c r="W34" s="405" t="s">
        <v>224</v>
      </c>
      <c r="X34" s="9"/>
      <c r="Y34" s="9"/>
      <c r="Z34" s="9"/>
      <c r="AA34" s="9"/>
      <c r="AB34" s="9"/>
      <c r="AC34" s="405" t="s">
        <v>224</v>
      </c>
      <c r="AD34" s="9"/>
      <c r="AE34" s="9"/>
      <c r="AF34" s="9"/>
      <c r="AG34" s="9"/>
      <c r="AH34" s="9"/>
      <c r="AI34" s="9"/>
      <c r="AJ34" s="9"/>
    </row>
    <row r="35" spans="22:36" x14ac:dyDescent="0.25">
      <c r="V35" s="9"/>
      <c r="W35" s="405" t="s">
        <v>225</v>
      </c>
      <c r="X35" s="9"/>
      <c r="Y35" s="9"/>
      <c r="Z35" s="9"/>
      <c r="AA35" s="9"/>
      <c r="AB35" s="9"/>
      <c r="AC35" s="405" t="s">
        <v>226</v>
      </c>
      <c r="AD35" s="9"/>
      <c r="AE35" s="9"/>
      <c r="AF35" s="9"/>
      <c r="AG35" s="9"/>
      <c r="AH35" s="9"/>
      <c r="AI35" s="9"/>
      <c r="AJ35" s="9"/>
    </row>
    <row r="36" spans="22:36" x14ac:dyDescent="0.25">
      <c r="V36" s="9"/>
      <c r="W36" s="505" t="s">
        <v>60</v>
      </c>
      <c r="X36" s="406" t="s">
        <v>240</v>
      </c>
      <c r="Y36" s="406" t="s">
        <v>241</v>
      </c>
      <c r="Z36" s="406" t="s">
        <v>15</v>
      </c>
      <c r="AA36" s="9"/>
      <c r="AB36" s="9"/>
      <c r="AC36" s="505" t="s">
        <v>60</v>
      </c>
      <c r="AD36" s="406" t="s">
        <v>240</v>
      </c>
      <c r="AE36" s="406" t="s">
        <v>241</v>
      </c>
      <c r="AF36" s="406" t="s">
        <v>15</v>
      </c>
      <c r="AG36" s="9"/>
      <c r="AH36" s="9"/>
      <c r="AI36" s="9"/>
      <c r="AJ36" s="9"/>
    </row>
    <row r="37" spans="22:36" x14ac:dyDescent="0.25">
      <c r="V37" s="9"/>
      <c r="W37" s="406">
        <f>Ruokinta!AX187</f>
        <v>0</v>
      </c>
      <c r="X37" s="535">
        <f>Ruokinta!BF187</f>
        <v>0</v>
      </c>
      <c r="Y37" s="536" t="b">
        <f>IF(W37="Säilörehu",$I$5,IF(W37="Laidun",$I$6,IF(W37="Heinä",$I$7,IF(W37="Ohra",$I$8,IF(W37="Kaura",$I$9,IF(W37="Vehnä",$I$10,IF(W37="Rypsi",$I$11,IF(W37="Härkäpapu",$I$12,IF(W37="Ohra-Kaura",$I$13,IF(W37="Herne",$I$14,IF(W37="Herne-Kaura",$I$15)))))))))))</f>
        <v>0</v>
      </c>
      <c r="Z37" s="407">
        <f>X37*Y37</f>
        <v>0</v>
      </c>
      <c r="AA37" s="9"/>
      <c r="AB37" s="9"/>
      <c r="AC37" s="406">
        <f>Ruokinta!BL187</f>
        <v>0</v>
      </c>
      <c r="AD37" s="535">
        <f>Ruokinta!BT187</f>
        <v>0</v>
      </c>
      <c r="AE37" s="536" t="b">
        <f>IF(AC37="Säilörehu",$I$5,IF(AC37="Laidun",$I$6,IF(AC37="Heinä",$I$7,IF(AC37="Ohra",$I$8,IF(AC37="Kaura",$I$9,IF(AC37="Vehnä",$I$10,IF(AC37="Rypsi",$I$11,IF(AC37="Härkäpapu",$I$12,IF(AC37="Ohra-Kaura",$I$13,IF(AC37="Herne",$I$14,IF(AC37="Herne-Kaura",$I$15)))))))))))</f>
        <v>0</v>
      </c>
      <c r="AF37" s="407">
        <f>AD37*AE37</f>
        <v>0</v>
      </c>
      <c r="AG37" s="9"/>
      <c r="AH37" s="9"/>
      <c r="AI37" s="9"/>
      <c r="AJ37" s="9"/>
    </row>
    <row r="38" spans="22:36" x14ac:dyDescent="0.25">
      <c r="V38" s="9"/>
      <c r="W38" s="406">
        <f>Ruokinta!AX188</f>
        <v>0</v>
      </c>
      <c r="X38" s="535">
        <f>Ruokinta!BF188</f>
        <v>0</v>
      </c>
      <c r="Y38" s="536" t="b">
        <f t="shared" ref="Y38:Y43" si="24">IF(W38="Säilörehu",$I$5,IF(W38="Laidun",$I$6,IF(W38="Heinä",$I$7,IF(W38="Ohra",$I$8,IF(W38="Kaura",$I$9,IF(W38="Vehnä",$I$10,IF(W38="Rypsi",$I$11,IF(W38="Härkäpapu",$I$12,IF(W38="Ohra-Kaura",$I$13,IF(W38="Herne",$I$14,IF(W38="Herne-Kaura",$I$15)))))))))))</f>
        <v>0</v>
      </c>
      <c r="Z38" s="407">
        <f>X38*Y38</f>
        <v>0</v>
      </c>
      <c r="AA38" s="9"/>
      <c r="AB38" s="9"/>
      <c r="AC38" s="406">
        <f>Ruokinta!BL188</f>
        <v>0</v>
      </c>
      <c r="AD38" s="535">
        <f>Ruokinta!BT188</f>
        <v>0</v>
      </c>
      <c r="AE38" s="536" t="b">
        <f t="shared" ref="AE38:AE43" si="25">IF(AC38="Säilörehu",$I$5,IF(AC38="Laidun",$I$6,IF(AC38="Heinä",$I$7,IF(AC38="Ohra",$I$8,IF(AC38="Kaura",$I$9,IF(AC38="Vehnä",$I$10,IF(AC38="Rypsi",$I$11,IF(AC38="Härkäpapu",$I$12,IF(AC38="Ohra-Kaura",$I$13,IF(AC38="Herne",$I$14,IF(AC38="Herne-Kaura",$I$15)))))))))))</f>
        <v>0</v>
      </c>
      <c r="AF38" s="407">
        <f>AD38*AE38</f>
        <v>0</v>
      </c>
      <c r="AG38" s="9"/>
      <c r="AH38" s="9"/>
      <c r="AI38" s="9"/>
      <c r="AJ38" s="9"/>
    </row>
    <row r="39" spans="22:36" x14ac:dyDescent="0.25">
      <c r="V39" s="9"/>
      <c r="W39" s="406">
        <f>Ruokinta!AX189</f>
        <v>0</v>
      </c>
      <c r="X39" s="535">
        <f>Ruokinta!BF189</f>
        <v>0</v>
      </c>
      <c r="Y39" s="536" t="b">
        <f t="shared" si="24"/>
        <v>0</v>
      </c>
      <c r="Z39" s="407">
        <f t="shared" ref="Z39:Z43" si="26">X39*Y39</f>
        <v>0</v>
      </c>
      <c r="AA39" s="9"/>
      <c r="AB39" s="9"/>
      <c r="AC39" s="406">
        <f>Ruokinta!BL189</f>
        <v>0</v>
      </c>
      <c r="AD39" s="535">
        <f>Ruokinta!BT189</f>
        <v>0</v>
      </c>
      <c r="AE39" s="536" t="b">
        <f t="shared" si="25"/>
        <v>0</v>
      </c>
      <c r="AF39" s="407">
        <f t="shared" ref="AF39:AF43" si="27">AD39*AE39</f>
        <v>0</v>
      </c>
      <c r="AG39" s="9"/>
      <c r="AH39" s="9"/>
      <c r="AI39" s="9"/>
      <c r="AJ39" s="9"/>
    </row>
    <row r="40" spans="22:36" x14ac:dyDescent="0.25">
      <c r="V40" s="9"/>
      <c r="W40" s="406">
        <f>Ruokinta!AX190</f>
        <v>0</v>
      </c>
      <c r="X40" s="535">
        <f>Ruokinta!BF190</f>
        <v>0</v>
      </c>
      <c r="Y40" s="536" t="b">
        <f t="shared" si="24"/>
        <v>0</v>
      </c>
      <c r="Z40" s="407">
        <f t="shared" si="26"/>
        <v>0</v>
      </c>
      <c r="AA40" s="9"/>
      <c r="AB40" s="9"/>
      <c r="AC40" s="406">
        <f>Ruokinta!BL190</f>
        <v>0</v>
      </c>
      <c r="AD40" s="535">
        <f>Ruokinta!BT190</f>
        <v>0</v>
      </c>
      <c r="AE40" s="536" t="b">
        <f t="shared" si="25"/>
        <v>0</v>
      </c>
      <c r="AF40" s="407">
        <f t="shared" si="27"/>
        <v>0</v>
      </c>
      <c r="AG40" s="9"/>
      <c r="AH40" s="9"/>
      <c r="AI40" s="9"/>
      <c r="AJ40" s="9"/>
    </row>
    <row r="41" spans="22:36" x14ac:dyDescent="0.25">
      <c r="V41" s="9"/>
      <c r="W41" s="406">
        <f>Ruokinta!AX191</f>
        <v>0</v>
      </c>
      <c r="X41" s="535">
        <f>Ruokinta!BF191</f>
        <v>0</v>
      </c>
      <c r="Y41" s="536" t="b">
        <f t="shared" si="24"/>
        <v>0</v>
      </c>
      <c r="Z41" s="407">
        <f t="shared" si="26"/>
        <v>0</v>
      </c>
      <c r="AA41" s="9"/>
      <c r="AB41" s="9"/>
      <c r="AC41" s="406">
        <f>Ruokinta!BL191</f>
        <v>0</v>
      </c>
      <c r="AD41" s="535">
        <f>Ruokinta!BT191</f>
        <v>0</v>
      </c>
      <c r="AE41" s="536" t="b">
        <f t="shared" si="25"/>
        <v>0</v>
      </c>
      <c r="AF41" s="407">
        <f t="shared" si="27"/>
        <v>0</v>
      </c>
      <c r="AG41" s="9"/>
      <c r="AH41" s="9"/>
      <c r="AI41" s="9"/>
      <c r="AJ41" s="9"/>
    </row>
    <row r="42" spans="22:36" x14ac:dyDescent="0.25">
      <c r="V42" s="9"/>
      <c r="W42" s="406">
        <f>Ruokinta!AX192</f>
        <v>0</v>
      </c>
      <c r="X42" s="535">
        <f>Ruokinta!BF192</f>
        <v>0</v>
      </c>
      <c r="Y42" s="536" t="b">
        <f t="shared" si="24"/>
        <v>0</v>
      </c>
      <c r="Z42" s="407">
        <f t="shared" si="26"/>
        <v>0</v>
      </c>
      <c r="AA42" s="9"/>
      <c r="AB42" s="9"/>
      <c r="AC42" s="406">
        <f>Ruokinta!BL192</f>
        <v>0</v>
      </c>
      <c r="AD42" s="535">
        <f>Ruokinta!BT192</f>
        <v>0</v>
      </c>
      <c r="AE42" s="536" t="b">
        <f t="shared" si="25"/>
        <v>0</v>
      </c>
      <c r="AF42" s="407">
        <f t="shared" si="27"/>
        <v>0</v>
      </c>
      <c r="AG42" s="9"/>
      <c r="AH42" s="9"/>
      <c r="AI42" s="9"/>
      <c r="AJ42" s="9"/>
    </row>
    <row r="43" spans="22:36" ht="15.75" thickBot="1" x14ac:dyDescent="0.3">
      <c r="V43" s="9"/>
      <c r="W43" s="537">
        <f>Ruokinta!AX193</f>
        <v>0</v>
      </c>
      <c r="X43" s="538">
        <f>Ruokinta!BF193</f>
        <v>0</v>
      </c>
      <c r="Y43" s="536" t="b">
        <f t="shared" si="24"/>
        <v>0</v>
      </c>
      <c r="Z43" s="539">
        <f t="shared" si="26"/>
        <v>0</v>
      </c>
      <c r="AA43" s="9"/>
      <c r="AB43" s="9"/>
      <c r="AC43" s="537">
        <f>Ruokinta!BL193</f>
        <v>0</v>
      </c>
      <c r="AD43" s="538">
        <f>Ruokinta!BT193</f>
        <v>0</v>
      </c>
      <c r="AE43" s="536" t="b">
        <f t="shared" si="25"/>
        <v>0</v>
      </c>
      <c r="AF43" s="539">
        <f t="shared" si="27"/>
        <v>0</v>
      </c>
      <c r="AG43" s="9"/>
      <c r="AH43" s="9"/>
      <c r="AI43" s="9"/>
      <c r="AJ43" s="9"/>
    </row>
    <row r="44" spans="22:36" x14ac:dyDescent="0.25">
      <c r="V44" s="9"/>
      <c r="W44" s="512" t="s">
        <v>36</v>
      </c>
      <c r="X44" s="9"/>
      <c r="Y44" s="9"/>
      <c r="Z44" s="540">
        <f>SUM(Z37:Z43)</f>
        <v>0</v>
      </c>
      <c r="AA44" s="9"/>
      <c r="AB44" s="9"/>
      <c r="AC44" s="512" t="s">
        <v>36</v>
      </c>
      <c r="AD44" s="9"/>
      <c r="AE44" s="9"/>
      <c r="AF44" s="540">
        <f>SUM(AF37:AF43)</f>
        <v>0</v>
      </c>
      <c r="AG44" s="9"/>
      <c r="AH44" s="9"/>
      <c r="AI44" s="9"/>
      <c r="AJ44" s="9"/>
    </row>
    <row r="45" spans="22:36" x14ac:dyDescent="0.25">
      <c r="V45" s="9"/>
      <c r="W45" s="9"/>
      <c r="X45" s="9"/>
      <c r="Y45" s="9"/>
      <c r="Z45" s="9"/>
      <c r="AA45" s="9"/>
      <c r="AB45" s="9"/>
      <c r="AC45" s="9"/>
      <c r="AD45" s="9"/>
      <c r="AE45" s="9"/>
      <c r="AF45" s="9"/>
      <c r="AG45" s="9"/>
      <c r="AH45" s="9"/>
      <c r="AI45" s="9"/>
      <c r="AJ45" s="9"/>
    </row>
    <row r="46" spans="22:36" x14ac:dyDescent="0.25">
      <c r="V46" s="9"/>
      <c r="W46" s="9"/>
      <c r="X46" s="9"/>
      <c r="Y46" s="9"/>
      <c r="Z46" s="9"/>
      <c r="AA46" s="9"/>
      <c r="AB46" s="9"/>
      <c r="AC46" s="9"/>
      <c r="AD46" s="9"/>
      <c r="AE46" s="9"/>
      <c r="AF46" s="9"/>
      <c r="AG46" s="9"/>
      <c r="AH46" s="9"/>
      <c r="AI46" s="9"/>
      <c r="AJ46" s="9"/>
    </row>
    <row r="47" spans="22:36" x14ac:dyDescent="0.25">
      <c r="V47" s="9"/>
      <c r="W47" s="505" t="s">
        <v>21</v>
      </c>
      <c r="X47" s="406" t="s">
        <v>98</v>
      </c>
      <c r="Y47" s="406" t="s">
        <v>118</v>
      </c>
      <c r="Z47" s="406" t="s">
        <v>15</v>
      </c>
      <c r="AA47" s="9"/>
      <c r="AB47" s="9"/>
      <c r="AC47" s="505" t="s">
        <v>21</v>
      </c>
      <c r="AD47" s="406" t="s">
        <v>98</v>
      </c>
      <c r="AE47" s="406" t="s">
        <v>118</v>
      </c>
      <c r="AF47" s="406" t="s">
        <v>15</v>
      </c>
      <c r="AG47" s="9"/>
      <c r="AH47" s="9"/>
      <c r="AI47" s="9"/>
      <c r="AJ47" s="9"/>
    </row>
    <row r="48" spans="22:36" x14ac:dyDescent="0.25">
      <c r="V48" s="9"/>
      <c r="W48" s="406">
        <f>Ruokinta!AX210</f>
        <v>0</v>
      </c>
      <c r="X48" s="535">
        <f>Ruokinta!AY210</f>
        <v>0</v>
      </c>
      <c r="Y48" s="536">
        <f>Y16</f>
        <v>0</v>
      </c>
      <c r="Z48" s="407">
        <f t="shared" ref="Z48:Z53" si="28">X48*Y48</f>
        <v>0</v>
      </c>
      <c r="AA48" s="9"/>
      <c r="AB48" s="9"/>
      <c r="AC48" s="406">
        <f>Ruokinta!BL210</f>
        <v>0</v>
      </c>
      <c r="AD48" s="535">
        <f>Ruokinta!BM210</f>
        <v>0</v>
      </c>
      <c r="AE48" s="536">
        <f>Y48</f>
        <v>0</v>
      </c>
      <c r="AF48" s="407">
        <f t="shared" ref="AF48:AF53" si="29">AD48*AE48</f>
        <v>0</v>
      </c>
      <c r="AG48" s="9"/>
      <c r="AH48" s="9"/>
      <c r="AI48" s="9"/>
      <c r="AJ48" s="9"/>
    </row>
    <row r="49" spans="22:36" x14ac:dyDescent="0.25">
      <c r="V49" s="9"/>
      <c r="W49" s="406">
        <f>Ruokinta!AX211</f>
        <v>0</v>
      </c>
      <c r="X49" s="535">
        <f>Ruokinta!AY211</f>
        <v>0</v>
      </c>
      <c r="Y49" s="536">
        <f t="shared" ref="Y49:Y55" si="30">Y17</f>
        <v>0</v>
      </c>
      <c r="Z49" s="407">
        <f t="shared" si="28"/>
        <v>0</v>
      </c>
      <c r="AA49" s="9"/>
      <c r="AB49" s="9"/>
      <c r="AC49" s="406">
        <f>Ruokinta!BL211</f>
        <v>0</v>
      </c>
      <c r="AD49" s="535">
        <f>Ruokinta!BM211</f>
        <v>0</v>
      </c>
      <c r="AE49" s="536">
        <f t="shared" ref="AE49:AE55" si="31">Y49</f>
        <v>0</v>
      </c>
      <c r="AF49" s="407">
        <f t="shared" si="29"/>
        <v>0</v>
      </c>
      <c r="AG49" s="9"/>
      <c r="AH49" s="9"/>
      <c r="AI49" s="9"/>
      <c r="AJ49" s="9"/>
    </row>
    <row r="50" spans="22:36" x14ac:dyDescent="0.25">
      <c r="V50" s="9"/>
      <c r="W50" s="406">
        <f>Ruokinta!AX212</f>
        <v>0</v>
      </c>
      <c r="X50" s="535">
        <f>Ruokinta!AY212</f>
        <v>0</v>
      </c>
      <c r="Y50" s="536">
        <f t="shared" si="30"/>
        <v>0</v>
      </c>
      <c r="Z50" s="407">
        <f t="shared" si="28"/>
        <v>0</v>
      </c>
      <c r="AA50" s="9"/>
      <c r="AB50" s="9"/>
      <c r="AC50" s="406">
        <f>Ruokinta!BL212</f>
        <v>0</v>
      </c>
      <c r="AD50" s="535">
        <f>Ruokinta!BM212</f>
        <v>0</v>
      </c>
      <c r="AE50" s="536">
        <f t="shared" si="31"/>
        <v>0</v>
      </c>
      <c r="AF50" s="407">
        <f t="shared" si="29"/>
        <v>0</v>
      </c>
      <c r="AG50" s="9"/>
      <c r="AH50" s="9"/>
      <c r="AI50" s="9"/>
      <c r="AJ50" s="9"/>
    </row>
    <row r="51" spans="22:36" x14ac:dyDescent="0.25">
      <c r="V51" s="9"/>
      <c r="W51" s="406">
        <f>Ruokinta!AX213</f>
        <v>0</v>
      </c>
      <c r="X51" s="535">
        <f>Ruokinta!AY213</f>
        <v>0</v>
      </c>
      <c r="Y51" s="536">
        <f t="shared" si="30"/>
        <v>0</v>
      </c>
      <c r="Z51" s="407">
        <f t="shared" si="28"/>
        <v>0</v>
      </c>
      <c r="AA51" s="9"/>
      <c r="AB51" s="9"/>
      <c r="AC51" s="406">
        <f>Ruokinta!BL213</f>
        <v>0</v>
      </c>
      <c r="AD51" s="535">
        <f>Ruokinta!BM213</f>
        <v>0</v>
      </c>
      <c r="AE51" s="536">
        <f t="shared" si="31"/>
        <v>0</v>
      </c>
      <c r="AF51" s="407">
        <f t="shared" si="29"/>
        <v>0</v>
      </c>
      <c r="AG51" s="9"/>
      <c r="AH51" s="9"/>
      <c r="AI51" s="9"/>
      <c r="AJ51" s="9"/>
    </row>
    <row r="52" spans="22:36" x14ac:dyDescent="0.25">
      <c r="V52" s="9"/>
      <c r="W52" s="406">
        <f>Ruokinta!AX214</f>
        <v>0</v>
      </c>
      <c r="X52" s="535">
        <f>Ruokinta!AY214</f>
        <v>0</v>
      </c>
      <c r="Y52" s="536">
        <f t="shared" si="30"/>
        <v>0</v>
      </c>
      <c r="Z52" s="407">
        <f t="shared" si="28"/>
        <v>0</v>
      </c>
      <c r="AA52" s="9"/>
      <c r="AB52" s="9"/>
      <c r="AC52" s="406">
        <f>Ruokinta!BL214</f>
        <v>0</v>
      </c>
      <c r="AD52" s="535">
        <f>Ruokinta!BM214</f>
        <v>0</v>
      </c>
      <c r="AE52" s="536">
        <f t="shared" si="31"/>
        <v>0</v>
      </c>
      <c r="AF52" s="407">
        <f t="shared" si="29"/>
        <v>0</v>
      </c>
      <c r="AG52" s="9"/>
      <c r="AH52" s="9"/>
      <c r="AI52" s="9"/>
      <c r="AJ52" s="9"/>
    </row>
    <row r="53" spans="22:36" x14ac:dyDescent="0.25">
      <c r="V53" s="9"/>
      <c r="W53" s="406">
        <f>Ruokinta!AX215</f>
        <v>0</v>
      </c>
      <c r="X53" s="535">
        <f>Ruokinta!AY215</f>
        <v>0</v>
      </c>
      <c r="Y53" s="536">
        <f t="shared" si="30"/>
        <v>0</v>
      </c>
      <c r="Z53" s="407">
        <f t="shared" si="28"/>
        <v>0</v>
      </c>
      <c r="AA53" s="9"/>
      <c r="AB53" s="9"/>
      <c r="AC53" s="406">
        <f>Ruokinta!BL215</f>
        <v>0</v>
      </c>
      <c r="AD53" s="535">
        <f>Ruokinta!BM215</f>
        <v>0</v>
      </c>
      <c r="AE53" s="536">
        <f t="shared" si="31"/>
        <v>0</v>
      </c>
      <c r="AF53" s="407">
        <f t="shared" si="29"/>
        <v>0</v>
      </c>
      <c r="AG53" s="9"/>
      <c r="AH53" s="9"/>
      <c r="AI53" s="9"/>
      <c r="AJ53" s="9"/>
    </row>
    <row r="54" spans="22:36" s="122" customFormat="1" x14ac:dyDescent="0.25">
      <c r="V54" s="9"/>
      <c r="W54" s="406" t="str">
        <f>Ruokinta!AX216</f>
        <v>Kivennäiset uuhet</v>
      </c>
      <c r="X54" s="407" t="e">
        <f>Ruokinta!AY216</f>
        <v>#DIV/0!</v>
      </c>
      <c r="Y54" s="541">
        <f t="shared" si="30"/>
        <v>0</v>
      </c>
      <c r="Z54" s="407" t="e">
        <f>X54*Y54</f>
        <v>#DIV/0!</v>
      </c>
      <c r="AA54" s="9"/>
      <c r="AB54" s="9"/>
      <c r="AC54" s="406" t="str">
        <f>Ruokinta!BL216</f>
        <v>Kivennäiset uuhet</v>
      </c>
      <c r="AD54" s="407" t="e">
        <f ca="1">Ruokinta!BM216</f>
        <v>#N/A</v>
      </c>
      <c r="AE54" s="541">
        <f t="shared" si="31"/>
        <v>0</v>
      </c>
      <c r="AF54" s="407" t="e">
        <f ca="1">AD54*AE54</f>
        <v>#N/A</v>
      </c>
      <c r="AG54" s="9"/>
      <c r="AH54" s="9"/>
      <c r="AI54" s="9"/>
      <c r="AJ54" s="9"/>
    </row>
    <row r="55" spans="22:36" s="122" customFormat="1" ht="15.75" thickBot="1" x14ac:dyDescent="0.3">
      <c r="V55" s="9"/>
      <c r="W55" s="537" t="str">
        <f>W23</f>
        <v>Kivennäiset karitsa</v>
      </c>
      <c r="X55" s="539" t="e">
        <f ca="1">Ruokinta!AY217</f>
        <v>#N/A</v>
      </c>
      <c r="Y55" s="542">
        <f t="shared" si="30"/>
        <v>0</v>
      </c>
      <c r="Z55" s="539" t="e">
        <f ca="1">X55*Y55</f>
        <v>#N/A</v>
      </c>
      <c r="AA55" s="9"/>
      <c r="AB55" s="9"/>
      <c r="AC55" s="537" t="str">
        <f>AC23</f>
        <v>Kivennäiset karitsa</v>
      </c>
      <c r="AD55" s="539" t="e">
        <f ca="1">Ruokinta!BM217</f>
        <v>#N/A</v>
      </c>
      <c r="AE55" s="542">
        <f t="shared" si="31"/>
        <v>0</v>
      </c>
      <c r="AF55" s="539" t="e">
        <f ca="1">AD55*AE55</f>
        <v>#N/A</v>
      </c>
      <c r="AG55" s="9"/>
      <c r="AH55" s="9"/>
      <c r="AI55" s="9"/>
      <c r="AJ55" s="9"/>
    </row>
    <row r="56" spans="22:36" x14ac:dyDescent="0.25">
      <c r="V56" s="9"/>
      <c r="W56" s="512" t="s">
        <v>36</v>
      </c>
      <c r="X56" s="9"/>
      <c r="Y56" s="9"/>
      <c r="Z56" s="540" t="e">
        <f>SUM(Z48:Z55)</f>
        <v>#DIV/0!</v>
      </c>
      <c r="AA56" s="9"/>
      <c r="AB56" s="9"/>
      <c r="AC56" s="512" t="s">
        <v>36</v>
      </c>
      <c r="AD56" s="9"/>
      <c r="AE56" s="9"/>
      <c r="AF56" s="540" t="e">
        <f ca="1">SUM(AF48:AF55)</f>
        <v>#N/A</v>
      </c>
      <c r="AG56" s="9"/>
      <c r="AH56" s="9"/>
      <c r="AI56" s="9"/>
      <c r="AJ56" s="9"/>
    </row>
    <row r="57" spans="22:36" x14ac:dyDescent="0.25">
      <c r="V57" s="9"/>
      <c r="W57" s="9"/>
      <c r="X57" s="9"/>
      <c r="Y57" s="9"/>
      <c r="Z57" s="9"/>
      <c r="AA57" s="9"/>
      <c r="AB57" s="9"/>
      <c r="AC57" s="9"/>
      <c r="AD57" s="9"/>
      <c r="AE57" s="9"/>
      <c r="AF57" s="9"/>
      <c r="AG57" s="9"/>
      <c r="AH57" s="9"/>
      <c r="AI57" s="9"/>
      <c r="AJ57" s="9"/>
    </row>
    <row r="58" spans="22:36" x14ac:dyDescent="0.25">
      <c r="V58" s="9"/>
      <c r="W58" s="543" t="s">
        <v>99</v>
      </c>
      <c r="X58" s="544"/>
      <c r="Y58" s="545"/>
      <c r="Z58" s="466" t="e">
        <f>Z44+Z56</f>
        <v>#DIV/0!</v>
      </c>
      <c r="AA58" s="9"/>
      <c r="AB58" s="9"/>
      <c r="AC58" s="543" t="s">
        <v>99</v>
      </c>
      <c r="AD58" s="544"/>
      <c r="AE58" s="545"/>
      <c r="AF58" s="466" t="e">
        <f ca="1">AF44+AF56</f>
        <v>#N/A</v>
      </c>
      <c r="AG58" s="9"/>
      <c r="AH58" s="9"/>
      <c r="AI58" s="9"/>
      <c r="AJ58" s="9"/>
    </row>
  </sheetData>
  <sheetProtection algorithmName="SHA-512" hashValue="QgYMveeLOG2jPhLOpCLEWQM8qMXcpBnir1jwrjFeJf/MJnETMsmMs3DJQXQFPav5at8i1j72+e/sMeLcH+2hLQ==" saltValue="JRnAVpyy4ockINwhjzOD9Q==" spinCount="100000" sheet="1" objects="1" scenarios="1" selectLockedCells="1"/>
  <mergeCells count="8">
    <mergeCell ref="AC58:AE58"/>
    <mergeCell ref="W58:Y58"/>
    <mergeCell ref="W28:AJ32"/>
    <mergeCell ref="B26:D26"/>
    <mergeCell ref="K26:M26"/>
    <mergeCell ref="Q26:S26"/>
    <mergeCell ref="W26:Y26"/>
    <mergeCell ref="AC26:AE26"/>
  </mergeCells>
  <pageMargins left="0.7" right="0.7" top="0.75" bottom="0.75" header="0.3" footer="0.3"/>
  <pageSetup paperSize="9" orientation="portrait" horizont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1"/>
  <sheetViews>
    <sheetView zoomScaleNormal="100" workbookViewId="0">
      <selection activeCell="P9" sqref="P9"/>
    </sheetView>
  </sheetViews>
  <sheetFormatPr defaultRowHeight="15" x14ac:dyDescent="0.25"/>
  <cols>
    <col min="1" max="1" width="10.28515625" bestFit="1" customWidth="1"/>
    <col min="2" max="2" width="15.85546875" bestFit="1" customWidth="1"/>
    <col min="3" max="3" width="11.5703125" bestFit="1" customWidth="1"/>
    <col min="4" max="4" width="9.42578125" customWidth="1"/>
    <col min="8" max="8" width="10.140625" customWidth="1"/>
    <col min="11" max="11" width="9.42578125" bestFit="1" customWidth="1"/>
    <col min="15" max="16" width="10" bestFit="1" customWidth="1"/>
    <col min="18" max="18" width="9.42578125" bestFit="1" customWidth="1"/>
    <col min="25" max="25" width="9.42578125" bestFit="1" customWidth="1"/>
    <col min="32" max="32" width="9.42578125" bestFit="1" customWidth="1"/>
  </cols>
  <sheetData>
    <row r="1" spans="1:15" ht="15.75" x14ac:dyDescent="0.25">
      <c r="A1" s="296" t="s">
        <v>267</v>
      </c>
    </row>
    <row r="2" spans="1:15" s="95" customFormat="1" x14ac:dyDescent="0.25"/>
    <row r="3" spans="1:15" x14ac:dyDescent="0.25">
      <c r="A3" s="96"/>
      <c r="B3" s="96" t="s">
        <v>142</v>
      </c>
      <c r="J3" s="96"/>
    </row>
    <row r="4" spans="1:15" x14ac:dyDescent="0.25">
      <c r="B4" s="209"/>
      <c r="C4" s="209" t="s">
        <v>126</v>
      </c>
      <c r="D4" s="209" t="s">
        <v>127</v>
      </c>
      <c r="E4" s="209" t="s">
        <v>128</v>
      </c>
      <c r="F4" s="209" t="s">
        <v>129</v>
      </c>
      <c r="G4" s="209" t="s">
        <v>130</v>
      </c>
      <c r="H4" s="209" t="s">
        <v>131</v>
      </c>
      <c r="I4" s="209" t="s">
        <v>113</v>
      </c>
      <c r="J4" s="209" t="s">
        <v>132</v>
      </c>
      <c r="K4" s="209" t="s">
        <v>133</v>
      </c>
      <c r="L4" s="209" t="s">
        <v>134</v>
      </c>
      <c r="M4" s="209" t="s">
        <v>135</v>
      </c>
      <c r="N4" s="209" t="s">
        <v>136</v>
      </c>
      <c r="O4" s="209" t="s">
        <v>36</v>
      </c>
    </row>
    <row r="5" spans="1:15" x14ac:dyDescent="0.25">
      <c r="B5" s="443" t="s">
        <v>137</v>
      </c>
      <c r="C5" s="424"/>
      <c r="D5" s="424"/>
      <c r="E5" s="424"/>
      <c r="F5" s="424"/>
      <c r="G5" s="424"/>
      <c r="H5" s="424"/>
      <c r="I5" s="424"/>
      <c r="J5" s="424"/>
      <c r="K5" s="424"/>
      <c r="L5" s="424"/>
      <c r="M5" s="424"/>
      <c r="N5" s="424"/>
      <c r="O5" s="249">
        <f>SUM(C5:N5)</f>
        <v>0</v>
      </c>
    </row>
    <row r="6" spans="1:15" x14ac:dyDescent="0.25">
      <c r="B6" s="443" t="s">
        <v>138</v>
      </c>
      <c r="C6" s="424"/>
      <c r="D6" s="424"/>
      <c r="E6" s="424"/>
      <c r="F6" s="424"/>
      <c r="G6" s="424"/>
      <c r="H6" s="424"/>
      <c r="I6" s="424"/>
      <c r="J6" s="424"/>
      <c r="K6" s="424"/>
      <c r="L6" s="424"/>
      <c r="M6" s="424"/>
      <c r="N6" s="424"/>
      <c r="O6" s="249">
        <f t="shared" ref="O6:O8" si="0">SUM(C6:N6)</f>
        <v>0</v>
      </c>
    </row>
    <row r="7" spans="1:15" x14ac:dyDescent="0.25">
      <c r="B7" s="443" t="s">
        <v>139</v>
      </c>
      <c r="C7" s="424"/>
      <c r="D7" s="424"/>
      <c r="E7" s="424"/>
      <c r="F7" s="424"/>
      <c r="G7" s="424"/>
      <c r="H7" s="424"/>
      <c r="I7" s="424"/>
      <c r="J7" s="424"/>
      <c r="K7" s="424"/>
      <c r="L7" s="424"/>
      <c r="M7" s="424"/>
      <c r="N7" s="424"/>
      <c r="O7" s="249">
        <f t="shared" si="0"/>
        <v>0</v>
      </c>
    </row>
    <row r="8" spans="1:15" x14ac:dyDescent="0.25">
      <c r="B8" s="443" t="s">
        <v>140</v>
      </c>
      <c r="C8" s="424"/>
      <c r="D8" s="424"/>
      <c r="E8" s="424"/>
      <c r="F8" s="424"/>
      <c r="G8" s="424"/>
      <c r="H8" s="424"/>
      <c r="I8" s="424"/>
      <c r="J8" s="424"/>
      <c r="K8" s="424"/>
      <c r="L8" s="424"/>
      <c r="M8" s="424"/>
      <c r="N8" s="424"/>
      <c r="O8" s="249">
        <f t="shared" si="0"/>
        <v>0</v>
      </c>
    </row>
    <row r="9" spans="1:15" x14ac:dyDescent="0.25">
      <c r="B9" s="209" t="s">
        <v>36</v>
      </c>
      <c r="C9" s="100">
        <f>SUM(C5:C8)</f>
        <v>0</v>
      </c>
      <c r="D9" s="100">
        <f t="shared" ref="D9:N9" si="1">SUM(D5:D8)</f>
        <v>0</v>
      </c>
      <c r="E9" s="100">
        <f t="shared" si="1"/>
        <v>0</v>
      </c>
      <c r="F9" s="100">
        <f t="shared" si="1"/>
        <v>0</v>
      </c>
      <c r="G9" s="100">
        <f t="shared" si="1"/>
        <v>0</v>
      </c>
      <c r="H9" s="100">
        <f t="shared" si="1"/>
        <v>0</v>
      </c>
      <c r="I9" s="100">
        <f t="shared" si="1"/>
        <v>0</v>
      </c>
      <c r="J9" s="100">
        <f t="shared" si="1"/>
        <v>0</v>
      </c>
      <c r="K9" s="100">
        <f t="shared" si="1"/>
        <v>0</v>
      </c>
      <c r="L9" s="100">
        <f t="shared" si="1"/>
        <v>0</v>
      </c>
      <c r="M9" s="100">
        <f t="shared" si="1"/>
        <v>0</v>
      </c>
      <c r="N9" s="100">
        <f t="shared" si="1"/>
        <v>0</v>
      </c>
      <c r="O9" s="100">
        <f>SUM(O5:O8)</f>
        <v>0</v>
      </c>
    </row>
    <row r="10" spans="1:15" x14ac:dyDescent="0.25">
      <c r="C10" s="95"/>
    </row>
    <row r="11" spans="1:15" s="95" customFormat="1" x14ac:dyDescent="0.25">
      <c r="B11" s="96" t="s">
        <v>144</v>
      </c>
    </row>
    <row r="12" spans="1:15" s="95" customFormat="1" x14ac:dyDescent="0.25">
      <c r="B12" s="209"/>
      <c r="C12" s="209" t="s">
        <v>126</v>
      </c>
      <c r="D12" s="209" t="s">
        <v>127</v>
      </c>
      <c r="E12" s="209" t="s">
        <v>128</v>
      </c>
      <c r="F12" s="209" t="s">
        <v>129</v>
      </c>
      <c r="G12" s="209" t="s">
        <v>130</v>
      </c>
      <c r="H12" s="209" t="s">
        <v>131</v>
      </c>
      <c r="I12" s="209" t="s">
        <v>113</v>
      </c>
      <c r="J12" s="209" t="s">
        <v>132</v>
      </c>
      <c r="K12" s="209" t="s">
        <v>133</v>
      </c>
      <c r="L12" s="209" t="s">
        <v>134</v>
      </c>
      <c r="M12" s="209" t="s">
        <v>135</v>
      </c>
      <c r="N12" s="209" t="s">
        <v>136</v>
      </c>
      <c r="O12" s="209" t="s">
        <v>146</v>
      </c>
    </row>
    <row r="13" spans="1:15" s="95" customFormat="1" x14ac:dyDescent="0.25">
      <c r="B13" s="209" t="s">
        <v>0</v>
      </c>
      <c r="C13" s="444"/>
      <c r="D13" s="444"/>
      <c r="E13" s="444"/>
      <c r="F13" s="444"/>
      <c r="G13" s="444"/>
      <c r="H13" s="444"/>
      <c r="I13" s="444"/>
      <c r="J13" s="444"/>
      <c r="K13" s="444"/>
      <c r="L13" s="444"/>
      <c r="M13" s="444"/>
      <c r="N13" s="444"/>
      <c r="O13" s="250" t="e">
        <f>AVERAGE(C13:N13)</f>
        <v>#DIV/0!</v>
      </c>
    </row>
    <row r="14" spans="1:15" s="122" customFormat="1" x14ac:dyDescent="0.25">
      <c r="B14" s="209" t="s">
        <v>291</v>
      </c>
      <c r="C14" s="444"/>
      <c r="D14" s="444"/>
      <c r="E14" s="444"/>
      <c r="F14" s="444"/>
      <c r="G14" s="444"/>
      <c r="H14" s="444"/>
      <c r="I14" s="444"/>
      <c r="J14" s="444"/>
      <c r="K14" s="444"/>
      <c r="L14" s="444"/>
      <c r="M14" s="444"/>
      <c r="N14" s="444"/>
      <c r="O14" s="250" t="e">
        <f t="shared" ref="O14" si="2">AVERAGE(C14:N14)</f>
        <v>#DIV/0!</v>
      </c>
    </row>
    <row r="15" spans="1:15" x14ac:dyDescent="0.25">
      <c r="B15" s="209" t="s">
        <v>36</v>
      </c>
      <c r="C15" s="101">
        <f t="shared" ref="C15:N15" si="3">SUM(C13:C14)</f>
        <v>0</v>
      </c>
      <c r="D15" s="101">
        <f t="shared" si="3"/>
        <v>0</v>
      </c>
      <c r="E15" s="101">
        <f t="shared" si="3"/>
        <v>0</v>
      </c>
      <c r="F15" s="101">
        <f t="shared" si="3"/>
        <v>0</v>
      </c>
      <c r="G15" s="101">
        <f t="shared" si="3"/>
        <v>0</v>
      </c>
      <c r="H15" s="101">
        <f t="shared" si="3"/>
        <v>0</v>
      </c>
      <c r="I15" s="101">
        <f t="shared" si="3"/>
        <v>0</v>
      </c>
      <c r="J15" s="101">
        <f t="shared" si="3"/>
        <v>0</v>
      </c>
      <c r="K15" s="101">
        <f t="shared" si="3"/>
        <v>0</v>
      </c>
      <c r="L15" s="101">
        <f t="shared" si="3"/>
        <v>0</v>
      </c>
      <c r="M15" s="101">
        <f t="shared" si="3"/>
        <v>0</v>
      </c>
      <c r="N15" s="101">
        <f t="shared" si="3"/>
        <v>0</v>
      </c>
      <c r="O15" s="101"/>
    </row>
    <row r="16" spans="1:15" s="95" customFormat="1" x14ac:dyDescent="0.25"/>
    <row r="17" spans="1:33" s="95" customFormat="1" x14ac:dyDescent="0.25">
      <c r="B17" s="96" t="s">
        <v>198</v>
      </c>
    </row>
    <row r="18" spans="1:33" x14ac:dyDescent="0.25">
      <c r="A18" s="95"/>
      <c r="B18" s="209"/>
      <c r="C18" s="209" t="s">
        <v>143</v>
      </c>
      <c r="D18" s="209" t="s">
        <v>126</v>
      </c>
      <c r="E18" s="209" t="s">
        <v>127</v>
      </c>
      <c r="F18" s="209" t="s">
        <v>128</v>
      </c>
      <c r="G18" s="209" t="s">
        <v>129</v>
      </c>
      <c r="H18" s="209" t="s">
        <v>130</v>
      </c>
      <c r="I18" s="209" t="s">
        <v>131</v>
      </c>
      <c r="J18" s="209" t="s">
        <v>113</v>
      </c>
      <c r="K18" s="209" t="s">
        <v>132</v>
      </c>
      <c r="L18" s="209" t="s">
        <v>133</v>
      </c>
      <c r="M18" s="209" t="s">
        <v>134</v>
      </c>
      <c r="N18" s="209" t="s">
        <v>135</v>
      </c>
      <c r="O18" s="209" t="s">
        <v>136</v>
      </c>
      <c r="P18" s="209" t="s">
        <v>36</v>
      </c>
    </row>
    <row r="19" spans="1:33" x14ac:dyDescent="0.25">
      <c r="B19" s="209" t="str">
        <f>B5</f>
        <v>Henkilö A</v>
      </c>
      <c r="C19" s="348">
        <v>16.2</v>
      </c>
      <c r="D19" s="232">
        <f t="shared" ref="D19:O19" si="4">C5*$C$19</f>
        <v>0</v>
      </c>
      <c r="E19" s="232">
        <f t="shared" si="4"/>
        <v>0</v>
      </c>
      <c r="F19" s="232">
        <f t="shared" si="4"/>
        <v>0</v>
      </c>
      <c r="G19" s="232">
        <f t="shared" si="4"/>
        <v>0</v>
      </c>
      <c r="H19" s="232">
        <f t="shared" si="4"/>
        <v>0</v>
      </c>
      <c r="I19" s="232">
        <f t="shared" si="4"/>
        <v>0</v>
      </c>
      <c r="J19" s="232">
        <f t="shared" si="4"/>
        <v>0</v>
      </c>
      <c r="K19" s="232">
        <f t="shared" si="4"/>
        <v>0</v>
      </c>
      <c r="L19" s="232">
        <f t="shared" si="4"/>
        <v>0</v>
      </c>
      <c r="M19" s="232">
        <f t="shared" si="4"/>
        <v>0</v>
      </c>
      <c r="N19" s="232">
        <f t="shared" si="4"/>
        <v>0</v>
      </c>
      <c r="O19" s="232">
        <f t="shared" si="4"/>
        <v>0</v>
      </c>
      <c r="P19" s="249">
        <f>SUM(D19:O19)</f>
        <v>0</v>
      </c>
    </row>
    <row r="20" spans="1:33" x14ac:dyDescent="0.25">
      <c r="B20" s="209" t="str">
        <f>B6</f>
        <v>Henkilö B</v>
      </c>
      <c r="C20" s="348">
        <v>16.2</v>
      </c>
      <c r="D20" s="232">
        <f t="shared" ref="D20:O20" si="5">C6*$C$20</f>
        <v>0</v>
      </c>
      <c r="E20" s="232">
        <f t="shared" si="5"/>
        <v>0</v>
      </c>
      <c r="F20" s="232">
        <f t="shared" si="5"/>
        <v>0</v>
      </c>
      <c r="G20" s="232">
        <f t="shared" si="5"/>
        <v>0</v>
      </c>
      <c r="H20" s="232">
        <f t="shared" si="5"/>
        <v>0</v>
      </c>
      <c r="I20" s="232">
        <f t="shared" si="5"/>
        <v>0</v>
      </c>
      <c r="J20" s="232">
        <f t="shared" si="5"/>
        <v>0</v>
      </c>
      <c r="K20" s="232">
        <f t="shared" si="5"/>
        <v>0</v>
      </c>
      <c r="L20" s="232">
        <f t="shared" si="5"/>
        <v>0</v>
      </c>
      <c r="M20" s="232">
        <f t="shared" si="5"/>
        <v>0</v>
      </c>
      <c r="N20" s="232">
        <f t="shared" si="5"/>
        <v>0</v>
      </c>
      <c r="O20" s="232">
        <f t="shared" si="5"/>
        <v>0</v>
      </c>
      <c r="P20" s="249">
        <f t="shared" ref="P20:P22" si="6">SUM(D20:O20)</f>
        <v>0</v>
      </c>
    </row>
    <row r="21" spans="1:33" x14ac:dyDescent="0.25">
      <c r="B21" s="209" t="str">
        <f>B7</f>
        <v>Henkilö C</v>
      </c>
      <c r="C21" s="348">
        <v>16.2</v>
      </c>
      <c r="D21" s="232">
        <f t="shared" ref="D21:O21" si="7">C7*$C$21</f>
        <v>0</v>
      </c>
      <c r="E21" s="232">
        <f t="shared" si="7"/>
        <v>0</v>
      </c>
      <c r="F21" s="232">
        <f t="shared" si="7"/>
        <v>0</v>
      </c>
      <c r="G21" s="232">
        <f t="shared" si="7"/>
        <v>0</v>
      </c>
      <c r="H21" s="232">
        <f t="shared" si="7"/>
        <v>0</v>
      </c>
      <c r="I21" s="232">
        <f t="shared" si="7"/>
        <v>0</v>
      </c>
      <c r="J21" s="232">
        <f t="shared" si="7"/>
        <v>0</v>
      </c>
      <c r="K21" s="232">
        <f t="shared" si="7"/>
        <v>0</v>
      </c>
      <c r="L21" s="232">
        <f t="shared" si="7"/>
        <v>0</v>
      </c>
      <c r="M21" s="232">
        <f t="shared" si="7"/>
        <v>0</v>
      </c>
      <c r="N21" s="232">
        <f t="shared" si="7"/>
        <v>0</v>
      </c>
      <c r="O21" s="232">
        <f t="shared" si="7"/>
        <v>0</v>
      </c>
      <c r="P21" s="249">
        <f t="shared" si="6"/>
        <v>0</v>
      </c>
    </row>
    <row r="22" spans="1:33" x14ac:dyDescent="0.25">
      <c r="B22" s="209" t="str">
        <f>B8</f>
        <v>Henkilö D</v>
      </c>
      <c r="C22" s="348">
        <v>16.2</v>
      </c>
      <c r="D22" s="232">
        <f t="shared" ref="D22:O22" si="8">C8*$C$22</f>
        <v>0</v>
      </c>
      <c r="E22" s="232">
        <f t="shared" si="8"/>
        <v>0</v>
      </c>
      <c r="F22" s="232">
        <f t="shared" si="8"/>
        <v>0</v>
      </c>
      <c r="G22" s="232">
        <f t="shared" si="8"/>
        <v>0</v>
      </c>
      <c r="H22" s="232">
        <f t="shared" si="8"/>
        <v>0</v>
      </c>
      <c r="I22" s="232">
        <f t="shared" si="8"/>
        <v>0</v>
      </c>
      <c r="J22" s="232">
        <f t="shared" si="8"/>
        <v>0</v>
      </c>
      <c r="K22" s="232">
        <f t="shared" si="8"/>
        <v>0</v>
      </c>
      <c r="L22" s="232">
        <f t="shared" si="8"/>
        <v>0</v>
      </c>
      <c r="M22" s="232">
        <f t="shared" si="8"/>
        <v>0</v>
      </c>
      <c r="N22" s="232">
        <f t="shared" si="8"/>
        <v>0</v>
      </c>
      <c r="O22" s="232">
        <f t="shared" si="8"/>
        <v>0</v>
      </c>
      <c r="P22" s="249">
        <f t="shared" si="6"/>
        <v>0</v>
      </c>
    </row>
    <row r="23" spans="1:33" x14ac:dyDescent="0.25">
      <c r="B23" s="209" t="s">
        <v>36</v>
      </c>
      <c r="C23" s="95"/>
      <c r="D23" s="100">
        <f>SUM(D19:D22)</f>
        <v>0</v>
      </c>
      <c r="E23" s="100">
        <f t="shared" ref="E23" si="9">SUM(E19:E22)</f>
        <v>0</v>
      </c>
      <c r="F23" s="100">
        <f t="shared" ref="F23" si="10">SUM(F19:F22)</f>
        <v>0</v>
      </c>
      <c r="G23" s="100">
        <f t="shared" ref="G23" si="11">SUM(G19:G22)</f>
        <v>0</v>
      </c>
      <c r="H23" s="100">
        <f t="shared" ref="H23" si="12">SUM(H19:H22)</f>
        <v>0</v>
      </c>
      <c r="I23" s="100">
        <f t="shared" ref="I23" si="13">SUM(I19:I22)</f>
        <v>0</v>
      </c>
      <c r="J23" s="100">
        <f t="shared" ref="J23" si="14">SUM(J19:J22)</f>
        <v>0</v>
      </c>
      <c r="K23" s="100">
        <f t="shared" ref="K23" si="15">SUM(K19:K22)</f>
        <v>0</v>
      </c>
      <c r="L23" s="100">
        <f t="shared" ref="L23" si="16">SUM(L19:L22)</f>
        <v>0</v>
      </c>
      <c r="M23" s="100">
        <f t="shared" ref="M23" si="17">SUM(M19:M22)</f>
        <v>0</v>
      </c>
      <c r="N23" s="100">
        <f t="shared" ref="N23" si="18">SUM(N19:N22)</f>
        <v>0</v>
      </c>
      <c r="O23" s="100">
        <f t="shared" ref="O23" si="19">SUM(O19:O22)</f>
        <v>0</v>
      </c>
      <c r="P23" s="100">
        <f>SUM(P19:P22)</f>
        <v>0</v>
      </c>
    </row>
    <row r="25" spans="1:33" x14ac:dyDescent="0.25">
      <c r="B25" s="96" t="s">
        <v>147</v>
      </c>
      <c r="H25" s="96" t="s">
        <v>199</v>
      </c>
    </row>
    <row r="26" spans="1:33" x14ac:dyDescent="0.25">
      <c r="B26" s="209"/>
      <c r="C26" s="209" t="s">
        <v>151</v>
      </c>
      <c r="D26" s="209" t="s">
        <v>152</v>
      </c>
      <c r="E26" s="209" t="s">
        <v>153</v>
      </c>
      <c r="H26" s="356"/>
      <c r="I26" s="356"/>
      <c r="J26" s="82" t="s">
        <v>148</v>
      </c>
      <c r="K26" s="209" t="s">
        <v>149</v>
      </c>
      <c r="L26" s="209" t="s">
        <v>150</v>
      </c>
    </row>
    <row r="27" spans="1:33" x14ac:dyDescent="0.25">
      <c r="B27" s="209" t="s">
        <v>25</v>
      </c>
      <c r="C27" s="246" t="e">
        <f>O9*O13/(Lähtötiedot!C8+Lähtötiedot!C16)</f>
        <v>#DIV/0!</v>
      </c>
      <c r="D27" s="246" t="e">
        <f>C27/12*60</f>
        <v>#DIV/0!</v>
      </c>
      <c r="E27" s="246" t="e">
        <f>D27/30</f>
        <v>#DIV/0!</v>
      </c>
      <c r="H27" s="356" t="s">
        <v>25</v>
      </c>
      <c r="I27" s="356"/>
      <c r="J27" s="247" t="e">
        <f>P23*O13/(Lähtötiedot!C8+Lähtötiedot!C16)</f>
        <v>#DIV/0!</v>
      </c>
      <c r="K27" s="248" t="e">
        <f>J27/12</f>
        <v>#DIV/0!</v>
      </c>
      <c r="L27" s="248" t="e">
        <f>J27/365</f>
        <v>#DIV/0!</v>
      </c>
      <c r="O27" s="39"/>
    </row>
    <row r="28" spans="1:33" x14ac:dyDescent="0.25">
      <c r="B28" s="342" t="s">
        <v>176</v>
      </c>
      <c r="C28" s="246" t="e">
        <f>O9*O14*(Ruokinta!$F$53*(Lähtötiedot!$C$18+Lähtötiedot!$C$19)/(Lähtötiedot!$C$17*Ruokinta!$F$37+Ruokinta!$F$53*(Lähtötiedot!$C$18+Lähtötiedot!$C$19)))/(Lähtötiedot!$C$18+Lähtötiedot!$C$19)</f>
        <v>#DIV/0!</v>
      </c>
      <c r="D28" s="246" t="e">
        <f>C28/12*60</f>
        <v>#DIV/0!</v>
      </c>
      <c r="E28" s="246" t="e">
        <f>C28/Ruokinta!F37*60</f>
        <v>#DIV/0!</v>
      </c>
      <c r="H28" s="356" t="s">
        <v>176</v>
      </c>
      <c r="I28" s="356"/>
      <c r="J28" s="247" t="e">
        <f>P23*O14*(Ruokinta!$F$53*(Lähtötiedot!$C$18+Lähtötiedot!$C$19)/(Lähtötiedot!$C$17*Ruokinta!$F$37+Ruokinta!$F$53*(Lähtötiedot!$C$18+Lähtötiedot!$C$19)))/(Lähtötiedot!$C$18+Lähtötiedot!$C$19)</f>
        <v>#DIV/0!</v>
      </c>
      <c r="K28" s="247" t="e">
        <f>L28*30</f>
        <v>#DIV/0!</v>
      </c>
      <c r="L28" s="247" t="e">
        <f>J28/Ruokinta!F37</f>
        <v>#DIV/0!</v>
      </c>
      <c r="N28" s="122"/>
    </row>
    <row r="29" spans="1:33" x14ac:dyDescent="0.25">
      <c r="B29" s="342" t="s">
        <v>162</v>
      </c>
      <c r="C29" s="246" t="e">
        <f>O9*O14*(Lähtötiedot!$C$17*Ruokinta!$F$37)/(Lähtötiedot!$C$17*Ruokinta!$F$37+Ruokinta!$F$53*(Lähtötiedot!$C$18+Lähtötiedot!$C$19))/Lähtötiedot!$C$17</f>
        <v>#DIV/0!</v>
      </c>
      <c r="D29" s="246" t="e">
        <f>C29/12*60</f>
        <v>#DIV/0!</v>
      </c>
      <c r="E29" s="246" t="e">
        <f>C29/Ruokinta!F37*60</f>
        <v>#DIV/0!</v>
      </c>
      <c r="F29" s="122"/>
      <c r="G29" s="122"/>
      <c r="H29" s="356" t="s">
        <v>162</v>
      </c>
      <c r="I29" s="356"/>
      <c r="J29" s="247" t="e">
        <f>P23*O14*(Lähtötiedot!$C$17*Ruokinta!$F$37)/(Lähtötiedot!$C$17*Ruokinta!$F$37+Ruokinta!$F$53*(Lähtötiedot!$C$18+Lähtötiedot!$C$19))/Lähtötiedot!$C$17</f>
        <v>#DIV/0!</v>
      </c>
      <c r="K29" s="247" t="e">
        <f>L29*30</f>
        <v>#DIV/0!</v>
      </c>
      <c r="L29" s="247" t="e">
        <f>J29/Ruokinta!F37</f>
        <v>#DIV/0!</v>
      </c>
    </row>
    <row r="30" spans="1:33" ht="15.75" thickBot="1" x14ac:dyDescent="0.3">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row>
    <row r="31" spans="1:33" x14ac:dyDescent="0.25">
      <c r="H31" s="122"/>
      <c r="I31" s="122"/>
      <c r="J31" s="122"/>
      <c r="K31" s="122"/>
      <c r="O31" s="203" t="s">
        <v>286</v>
      </c>
      <c r="P31" s="122"/>
      <c r="Q31" s="122"/>
      <c r="R31" s="122"/>
      <c r="V31" s="203" t="s">
        <v>224</v>
      </c>
      <c r="W31" s="122"/>
      <c r="X31" s="122"/>
      <c r="Y31" s="122"/>
      <c r="AC31" s="203" t="s">
        <v>224</v>
      </c>
    </row>
    <row r="32" spans="1:33" x14ac:dyDescent="0.25">
      <c r="A32" s="96"/>
      <c r="B32" s="203" t="s">
        <v>41</v>
      </c>
      <c r="C32" s="122"/>
      <c r="D32" s="122"/>
      <c r="E32" s="122"/>
      <c r="F32" s="122"/>
      <c r="H32" s="203" t="s">
        <v>285</v>
      </c>
      <c r="I32" s="122"/>
      <c r="J32" s="122"/>
      <c r="K32" s="122"/>
      <c r="O32" s="203" t="s">
        <v>287</v>
      </c>
      <c r="P32" s="122"/>
      <c r="Q32" s="122"/>
      <c r="R32" s="122"/>
      <c r="V32" s="203" t="s">
        <v>225</v>
      </c>
      <c r="W32" s="122"/>
      <c r="X32" s="122"/>
      <c r="Y32" s="122"/>
      <c r="AC32" s="203" t="s">
        <v>226</v>
      </c>
      <c r="AD32" s="122"/>
      <c r="AE32" s="122"/>
      <c r="AF32" s="122"/>
      <c r="AG32" s="122"/>
    </row>
    <row r="33" spans="1:33" s="95" customFormat="1" x14ac:dyDescent="0.25">
      <c r="A33" s="96"/>
      <c r="B33" s="251"/>
      <c r="C33" s="209" t="s">
        <v>1</v>
      </c>
      <c r="D33" s="209" t="s">
        <v>177</v>
      </c>
      <c r="E33" s="209" t="s">
        <v>178</v>
      </c>
      <c r="H33" s="389"/>
      <c r="I33" s="390"/>
      <c r="J33" s="209" t="s">
        <v>1</v>
      </c>
      <c r="K33" s="209" t="s">
        <v>177</v>
      </c>
      <c r="L33" s="209" t="s">
        <v>178</v>
      </c>
      <c r="M33" s="122"/>
      <c r="O33" s="80"/>
      <c r="P33" s="82"/>
      <c r="Q33" s="209" t="s">
        <v>1</v>
      </c>
      <c r="R33" s="209" t="s">
        <v>177</v>
      </c>
      <c r="S33" s="209" t="s">
        <v>178</v>
      </c>
      <c r="T33" s="122"/>
      <c r="U33" s="122"/>
      <c r="V33" s="80"/>
      <c r="W33" s="82"/>
      <c r="X33" s="82" t="s">
        <v>1</v>
      </c>
      <c r="Y33" s="209" t="s">
        <v>177</v>
      </c>
      <c r="Z33" s="209" t="s">
        <v>178</v>
      </c>
      <c r="AC33" s="80"/>
      <c r="AD33" s="82"/>
      <c r="AE33" s="82" t="s">
        <v>1</v>
      </c>
      <c r="AF33" s="209" t="s">
        <v>177</v>
      </c>
      <c r="AG33" s="209" t="s">
        <v>178</v>
      </c>
    </row>
    <row r="34" spans="1:33" s="95" customFormat="1" x14ac:dyDescent="0.25">
      <c r="A34" s="96"/>
      <c r="B34" s="251" t="s">
        <v>0</v>
      </c>
      <c r="C34" s="152">
        <f>Lähtötiedot!C8+Lähtötiedot!C16</f>
        <v>0</v>
      </c>
      <c r="D34" s="113" t="e">
        <f>C27</f>
        <v>#DIV/0!</v>
      </c>
      <c r="E34" s="152" t="e">
        <f>C34*D34</f>
        <v>#DIV/0!</v>
      </c>
      <c r="H34" s="389" t="s">
        <v>0</v>
      </c>
      <c r="I34" s="390"/>
      <c r="J34" s="208" t="e">
        <f ca="1">Lähtötiedot!G8+Lähtötiedot!G16</f>
        <v>#N/A</v>
      </c>
      <c r="K34" s="113" t="e">
        <f>C27</f>
        <v>#DIV/0!</v>
      </c>
      <c r="L34" s="208" t="e">
        <f ca="1">J34*K34</f>
        <v>#N/A</v>
      </c>
      <c r="M34" s="122"/>
      <c r="O34" s="80" t="s">
        <v>0</v>
      </c>
      <c r="P34" s="82"/>
      <c r="Q34" s="152" t="e">
        <f ca="1">Lähtötiedot!K8+Lähtötiedot!K16</f>
        <v>#N/A</v>
      </c>
      <c r="R34" s="113" t="e">
        <f>C27*1.3</f>
        <v>#DIV/0!</v>
      </c>
      <c r="S34" s="152" t="e">
        <f ca="1">Q34*R34</f>
        <v>#N/A</v>
      </c>
      <c r="T34" s="122"/>
      <c r="U34" s="122"/>
      <c r="V34" s="80" t="s">
        <v>0</v>
      </c>
      <c r="W34" s="82"/>
      <c r="X34" s="126">
        <f>Lähtötiedot!O8+Lähtötiedot!O16</f>
        <v>0</v>
      </c>
      <c r="Y34" s="113" t="e">
        <f>C27</f>
        <v>#DIV/0!</v>
      </c>
      <c r="Z34" s="152" t="e">
        <f>X34*Y34</f>
        <v>#DIV/0!</v>
      </c>
      <c r="AC34" s="80" t="s">
        <v>0</v>
      </c>
      <c r="AD34" s="82"/>
      <c r="AE34" s="126">
        <f>Lähtötiedot!S8+Lähtötiedot!S16</f>
        <v>0</v>
      </c>
      <c r="AF34" s="113" t="e">
        <f>C27*1.3</f>
        <v>#DIV/0!</v>
      </c>
      <c r="AG34" s="161" t="e">
        <f>AE34*AF34</f>
        <v>#DIV/0!</v>
      </c>
    </row>
    <row r="35" spans="1:33" s="95" customFormat="1" x14ac:dyDescent="0.25">
      <c r="A35" s="96"/>
      <c r="B35" s="251" t="s">
        <v>176</v>
      </c>
      <c r="C35" s="152">
        <f>Lähtötiedot!C18+Lähtötiedot!C19</f>
        <v>0</v>
      </c>
      <c r="D35" s="113">
        <f>IF(C35=0,0,C28)</f>
        <v>0</v>
      </c>
      <c r="E35" s="152">
        <f>C35*D35</f>
        <v>0</v>
      </c>
      <c r="H35" s="389" t="s">
        <v>176</v>
      </c>
      <c r="I35" s="390"/>
      <c r="J35" s="208" t="e">
        <f ca="1">Lähtötiedot!G18</f>
        <v>#N/A</v>
      </c>
      <c r="K35" s="113" t="e">
        <f>C29*Ruokinta!F53/Ruokinta!F37</f>
        <v>#DIV/0!</v>
      </c>
      <c r="L35" s="208" t="e">
        <f t="shared" ref="L35:L36" ca="1" si="20">J35*K35</f>
        <v>#N/A</v>
      </c>
      <c r="M35" s="122"/>
      <c r="O35" s="80" t="s">
        <v>176</v>
      </c>
      <c r="P35" s="82"/>
      <c r="Q35" s="152" t="e">
        <f ca="1">Lähtötiedot!K18</f>
        <v>#N/A</v>
      </c>
      <c r="R35" s="113" t="e">
        <f>K35</f>
        <v>#DIV/0!</v>
      </c>
      <c r="S35" s="152" t="e">
        <f t="shared" ref="S35:S36" ca="1" si="21">Q35*R35</f>
        <v>#N/A</v>
      </c>
      <c r="T35" s="122"/>
      <c r="U35" s="122"/>
      <c r="V35" s="209" t="s">
        <v>176</v>
      </c>
      <c r="W35" s="209"/>
      <c r="X35" s="126" t="e">
        <f ca="1">Lähtötiedot!O18</f>
        <v>#N/A</v>
      </c>
      <c r="Y35" s="113" t="e">
        <f>R35</f>
        <v>#DIV/0!</v>
      </c>
      <c r="Z35" s="152" t="e">
        <f t="shared" ref="Z35:Z36" ca="1" si="22">X35*Y35</f>
        <v>#N/A</v>
      </c>
      <c r="AC35" s="209" t="s">
        <v>176</v>
      </c>
      <c r="AD35" s="209"/>
      <c r="AE35" s="126" t="e">
        <f ca="1">Lähtötiedot!S18</f>
        <v>#N/A</v>
      </c>
      <c r="AF35" s="113" t="e">
        <f>Y35</f>
        <v>#DIV/0!</v>
      </c>
      <c r="AG35" s="161" t="e">
        <f t="shared" ref="AG35:AG36" ca="1" si="23">AE35*AF35</f>
        <v>#N/A</v>
      </c>
    </row>
    <row r="36" spans="1:33" s="95" customFormat="1" x14ac:dyDescent="0.25">
      <c r="A36" s="96"/>
      <c r="B36" s="251" t="s">
        <v>162</v>
      </c>
      <c r="C36" s="152">
        <f>Lähtötiedot!C17</f>
        <v>0</v>
      </c>
      <c r="D36" s="113" t="e">
        <f>C29</f>
        <v>#DIV/0!</v>
      </c>
      <c r="E36" s="152" t="e">
        <f>C36*D36</f>
        <v>#DIV/0!</v>
      </c>
      <c r="H36" s="389" t="s">
        <v>162</v>
      </c>
      <c r="I36" s="390"/>
      <c r="J36" s="208" t="e">
        <f ca="1">Lähtötiedot!G17+Lähtötiedot!G19</f>
        <v>#DIV/0!</v>
      </c>
      <c r="K36" s="113" t="e">
        <f>C29</f>
        <v>#DIV/0!</v>
      </c>
      <c r="L36" s="208" t="e">
        <f t="shared" ca="1" si="20"/>
        <v>#DIV/0!</v>
      </c>
      <c r="M36" s="122"/>
      <c r="O36" s="80" t="s">
        <v>162</v>
      </c>
      <c r="P36" s="82"/>
      <c r="Q36" s="152" t="e">
        <f ca="1">Lähtötiedot!K17+Lähtötiedot!K19</f>
        <v>#N/A</v>
      </c>
      <c r="R36" s="113" t="e">
        <f>C29</f>
        <v>#DIV/0!</v>
      </c>
      <c r="S36" s="152" t="e">
        <f t="shared" ca="1" si="21"/>
        <v>#N/A</v>
      </c>
      <c r="T36" s="122"/>
      <c r="U36" s="122"/>
      <c r="V36" s="209" t="s">
        <v>162</v>
      </c>
      <c r="W36" s="209"/>
      <c r="X36" s="126" t="e">
        <f ca="1">Lähtötiedot!O17+Lähtötiedot!O19</f>
        <v>#N/A</v>
      </c>
      <c r="Y36" s="113" t="e">
        <f>C29</f>
        <v>#DIV/0!</v>
      </c>
      <c r="Z36" s="152" t="e">
        <f t="shared" ca="1" si="22"/>
        <v>#N/A</v>
      </c>
      <c r="AC36" s="209" t="s">
        <v>162</v>
      </c>
      <c r="AD36" s="209"/>
      <c r="AE36" s="126" t="e">
        <f ca="1">Lähtötiedot!S17+Lähtötiedot!S19</f>
        <v>#N/A</v>
      </c>
      <c r="AF36" s="113" t="e">
        <f>C29</f>
        <v>#DIV/0!</v>
      </c>
      <c r="AG36" s="161" t="e">
        <f t="shared" ca="1" si="23"/>
        <v>#N/A</v>
      </c>
    </row>
    <row r="37" spans="1:33" s="95" customFormat="1" x14ac:dyDescent="0.25">
      <c r="A37" s="96"/>
      <c r="B37" s="122"/>
      <c r="C37" s="158"/>
      <c r="D37" s="159" t="s">
        <v>179</v>
      </c>
      <c r="E37" s="129" t="e">
        <f>SUM(E34:E36)</f>
        <v>#DIV/0!</v>
      </c>
      <c r="H37" s="122"/>
      <c r="I37" s="122"/>
      <c r="J37" s="158"/>
      <c r="K37" s="159" t="s">
        <v>179</v>
      </c>
      <c r="L37" s="129" t="e">
        <f ca="1">SUM(L34:L36)</f>
        <v>#N/A</v>
      </c>
      <c r="O37" s="122"/>
      <c r="Q37" s="154"/>
      <c r="R37" s="154" t="s">
        <v>179</v>
      </c>
      <c r="S37" s="129" t="e">
        <f ca="1">SUM(S34:S36)</f>
        <v>#N/A</v>
      </c>
      <c r="T37" s="122"/>
      <c r="U37" s="122"/>
      <c r="V37" s="122"/>
      <c r="W37" s="122"/>
      <c r="X37" s="154"/>
      <c r="Y37" s="154" t="s">
        <v>179</v>
      </c>
      <c r="Z37" s="129" t="e">
        <f>SUM(Z34:Z36)</f>
        <v>#DIV/0!</v>
      </c>
      <c r="AC37" s="122"/>
      <c r="AD37" s="122"/>
      <c r="AE37" s="154"/>
      <c r="AF37" s="154" t="s">
        <v>179</v>
      </c>
      <c r="AG37" s="129" t="e">
        <f>SUM(AG34:AG36)</f>
        <v>#DIV/0!</v>
      </c>
    </row>
    <row r="38" spans="1:33" s="122" customFormat="1" x14ac:dyDescent="0.25">
      <c r="A38" s="108"/>
    </row>
    <row r="39" spans="1:33" s="122" customFormat="1" x14ac:dyDescent="0.25">
      <c r="A39" s="108"/>
    </row>
    <row r="40" spans="1:33" s="122" customFormat="1" x14ac:dyDescent="0.25">
      <c r="A40" s="108"/>
      <c r="B40" s="251"/>
      <c r="C40" s="209" t="s">
        <v>1</v>
      </c>
      <c r="D40" s="209" t="s">
        <v>180</v>
      </c>
      <c r="E40" s="209" t="s">
        <v>178</v>
      </c>
      <c r="H40" s="389"/>
      <c r="I40" s="390"/>
      <c r="J40" s="209" t="s">
        <v>1</v>
      </c>
      <c r="K40" s="209" t="s">
        <v>180</v>
      </c>
      <c r="L40" s="209" t="s">
        <v>178</v>
      </c>
      <c r="O40" s="80"/>
      <c r="P40" s="82"/>
      <c r="Q40" s="209" t="s">
        <v>1</v>
      </c>
      <c r="R40" s="209" t="s">
        <v>180</v>
      </c>
      <c r="S40" s="209" t="s">
        <v>178</v>
      </c>
      <c r="V40" s="80"/>
      <c r="W40" s="82"/>
      <c r="X40" s="209" t="s">
        <v>1</v>
      </c>
      <c r="Y40" s="209" t="s">
        <v>180</v>
      </c>
      <c r="Z40" s="209" t="s">
        <v>178</v>
      </c>
      <c r="AC40" s="80"/>
      <c r="AD40" s="82"/>
      <c r="AE40" s="209" t="s">
        <v>1</v>
      </c>
      <c r="AF40" s="209" t="s">
        <v>180</v>
      </c>
      <c r="AG40" s="209" t="s">
        <v>178</v>
      </c>
    </row>
    <row r="41" spans="1:33" s="122" customFormat="1" x14ac:dyDescent="0.25">
      <c r="A41" s="108"/>
      <c r="B41" s="251" t="s">
        <v>0</v>
      </c>
      <c r="C41" s="152">
        <f>C34</f>
        <v>0</v>
      </c>
      <c r="D41" s="113" t="e">
        <f>J27</f>
        <v>#DIV/0!</v>
      </c>
      <c r="E41" s="152" t="e">
        <f>C41*D41</f>
        <v>#DIV/0!</v>
      </c>
      <c r="H41" s="389" t="s">
        <v>0</v>
      </c>
      <c r="I41" s="390"/>
      <c r="J41" s="208" t="e">
        <f ca="1">J34</f>
        <v>#N/A</v>
      </c>
      <c r="K41" s="113" t="e">
        <f>J27</f>
        <v>#DIV/0!</v>
      </c>
      <c r="L41" s="208" t="e">
        <f ca="1">J41*K41</f>
        <v>#N/A</v>
      </c>
      <c r="O41" s="80" t="s">
        <v>0</v>
      </c>
      <c r="P41" s="82"/>
      <c r="Q41" s="152" t="e">
        <f ca="1">Q34</f>
        <v>#N/A</v>
      </c>
      <c r="R41" s="113" t="e">
        <f>J27*1.3</f>
        <v>#DIV/0!</v>
      </c>
      <c r="S41" s="152" t="e">
        <f ca="1">Q41*R41</f>
        <v>#N/A</v>
      </c>
      <c r="V41" s="80" t="s">
        <v>0</v>
      </c>
      <c r="W41" s="82"/>
      <c r="X41" s="152">
        <f>X34</f>
        <v>0</v>
      </c>
      <c r="Y41" s="113" t="e">
        <f>J27</f>
        <v>#DIV/0!</v>
      </c>
      <c r="Z41" s="152" t="e">
        <f>X41*Y41</f>
        <v>#DIV/0!</v>
      </c>
      <c r="AC41" s="80" t="s">
        <v>0</v>
      </c>
      <c r="AD41" s="82"/>
      <c r="AE41" s="161">
        <f>AE34</f>
        <v>0</v>
      </c>
      <c r="AF41" s="113" t="e">
        <f>J27*1.3</f>
        <v>#DIV/0!</v>
      </c>
      <c r="AG41" s="161" t="e">
        <f>AE41*AF41</f>
        <v>#DIV/0!</v>
      </c>
    </row>
    <row r="42" spans="1:33" s="122" customFormat="1" x14ac:dyDescent="0.25">
      <c r="A42" s="108"/>
      <c r="B42" s="251" t="s">
        <v>176</v>
      </c>
      <c r="C42" s="152">
        <f>C35</f>
        <v>0</v>
      </c>
      <c r="D42" s="113">
        <f>IF(C42=0,0,J28)</f>
        <v>0</v>
      </c>
      <c r="E42" s="152">
        <f t="shared" ref="E42:E43" si="24">C42*D42</f>
        <v>0</v>
      </c>
      <c r="H42" s="389" t="s">
        <v>176</v>
      </c>
      <c r="I42" s="390"/>
      <c r="J42" s="208" t="e">
        <f ca="1">J35</f>
        <v>#N/A</v>
      </c>
      <c r="K42" s="113" t="e">
        <f>J29*Ruokinta!F53/Ruokinta!F37</f>
        <v>#DIV/0!</v>
      </c>
      <c r="L42" s="208" t="e">
        <f t="shared" ref="L42:L43" ca="1" si="25">J42*K42</f>
        <v>#N/A</v>
      </c>
      <c r="O42" s="80" t="s">
        <v>176</v>
      </c>
      <c r="P42" s="82"/>
      <c r="Q42" s="152" t="e">
        <f t="shared" ref="Q42:Q43" ca="1" si="26">Q35</f>
        <v>#N/A</v>
      </c>
      <c r="R42" s="113" t="e">
        <f>K42</f>
        <v>#DIV/0!</v>
      </c>
      <c r="S42" s="152" t="e">
        <f t="shared" ref="S42:S43" ca="1" si="27">Q42*R42</f>
        <v>#N/A</v>
      </c>
      <c r="V42" s="209" t="s">
        <v>176</v>
      </c>
      <c r="W42" s="209"/>
      <c r="X42" s="152" t="e">
        <f t="shared" ref="X42:X43" ca="1" si="28">X35</f>
        <v>#N/A</v>
      </c>
      <c r="Y42" s="113" t="e">
        <f>R42</f>
        <v>#DIV/0!</v>
      </c>
      <c r="Z42" s="152" t="e">
        <f t="shared" ref="Z42:Z43" ca="1" si="29">X42*Y42</f>
        <v>#N/A</v>
      </c>
      <c r="AC42" s="209" t="s">
        <v>176</v>
      </c>
      <c r="AD42" s="209"/>
      <c r="AE42" s="161" t="e">
        <f t="shared" ref="AE42:AE43" ca="1" si="30">AE35</f>
        <v>#N/A</v>
      </c>
      <c r="AF42" s="113" t="e">
        <f>Y42</f>
        <v>#DIV/0!</v>
      </c>
      <c r="AG42" s="161" t="e">
        <f t="shared" ref="AG42:AG43" ca="1" si="31">AE42*AF42</f>
        <v>#N/A</v>
      </c>
    </row>
    <row r="43" spans="1:33" s="102" customFormat="1" x14ac:dyDescent="0.25">
      <c r="A43" s="103"/>
      <c r="B43" s="251" t="s">
        <v>162</v>
      </c>
      <c r="C43" s="152">
        <f>C36</f>
        <v>0</v>
      </c>
      <c r="D43" s="113" t="e">
        <f>J29</f>
        <v>#DIV/0!</v>
      </c>
      <c r="E43" s="152" t="e">
        <f t="shared" si="24"/>
        <v>#DIV/0!</v>
      </c>
      <c r="H43" s="389" t="s">
        <v>162</v>
      </c>
      <c r="I43" s="390"/>
      <c r="J43" s="208" t="e">
        <f ca="1">J36</f>
        <v>#DIV/0!</v>
      </c>
      <c r="K43" s="113" t="e">
        <f>J29</f>
        <v>#DIV/0!</v>
      </c>
      <c r="L43" s="208" t="e">
        <f t="shared" ca="1" si="25"/>
        <v>#DIV/0!</v>
      </c>
      <c r="O43" s="80" t="s">
        <v>162</v>
      </c>
      <c r="P43" s="82"/>
      <c r="Q43" s="152" t="e">
        <f t="shared" ca="1" si="26"/>
        <v>#N/A</v>
      </c>
      <c r="R43" s="113" t="e">
        <f>J29</f>
        <v>#DIV/0!</v>
      </c>
      <c r="S43" s="152" t="e">
        <f t="shared" ca="1" si="27"/>
        <v>#N/A</v>
      </c>
      <c r="T43" s="122"/>
      <c r="U43" s="122"/>
      <c r="V43" s="209" t="s">
        <v>162</v>
      </c>
      <c r="W43" s="209"/>
      <c r="X43" s="152" t="e">
        <f t="shared" ca="1" si="28"/>
        <v>#N/A</v>
      </c>
      <c r="Y43" s="113" t="e">
        <f>J29</f>
        <v>#DIV/0!</v>
      </c>
      <c r="Z43" s="152" t="e">
        <f t="shared" ca="1" si="29"/>
        <v>#N/A</v>
      </c>
      <c r="AC43" s="209" t="s">
        <v>162</v>
      </c>
      <c r="AD43" s="209"/>
      <c r="AE43" s="161" t="e">
        <f t="shared" ca="1" si="30"/>
        <v>#N/A</v>
      </c>
      <c r="AF43" s="113" t="e">
        <f>J29</f>
        <v>#DIV/0!</v>
      </c>
      <c r="AG43" s="161" t="e">
        <f t="shared" ca="1" si="31"/>
        <v>#N/A</v>
      </c>
    </row>
    <row r="44" spans="1:33" s="102" customFormat="1" x14ac:dyDescent="0.25">
      <c r="A44" s="103"/>
      <c r="B44" s="122"/>
      <c r="C44" s="158"/>
      <c r="D44" s="159" t="s">
        <v>200</v>
      </c>
      <c r="E44" s="129" t="e">
        <f>SUM(E41:E43)</f>
        <v>#DIV/0!</v>
      </c>
      <c r="H44" s="122"/>
      <c r="I44" s="122"/>
      <c r="J44" s="158"/>
      <c r="K44" s="159" t="s">
        <v>200</v>
      </c>
      <c r="L44" s="129" t="e">
        <f ca="1">SUM(L41:L43)</f>
        <v>#N/A</v>
      </c>
      <c r="P44" s="154"/>
      <c r="Q44" s="154"/>
      <c r="R44" s="159" t="s">
        <v>200</v>
      </c>
      <c r="S44" s="129" t="e">
        <f ca="1">SUM(S41:S43)</f>
        <v>#N/A</v>
      </c>
      <c r="T44" s="122"/>
      <c r="U44" s="122"/>
      <c r="W44" s="154"/>
      <c r="X44" s="154"/>
      <c r="Y44" s="159" t="s">
        <v>200</v>
      </c>
      <c r="Z44" s="129" t="e">
        <f>SUM(Z41:Z43)</f>
        <v>#DIV/0!</v>
      </c>
      <c r="AC44" s="122"/>
      <c r="AD44" s="154"/>
      <c r="AE44" s="154"/>
      <c r="AF44" s="154" t="s">
        <v>181</v>
      </c>
      <c r="AG44" s="129" t="e">
        <f>SUM(AG41:AG43)</f>
        <v>#DIV/0!</v>
      </c>
    </row>
    <row r="45" spans="1:33" s="122" customFormat="1" x14ac:dyDescent="0.25">
      <c r="A45" s="108"/>
      <c r="C45" s="39"/>
    </row>
    <row r="46" spans="1:33" s="122" customFormat="1" ht="15.75" thickBot="1" x14ac:dyDescent="0.3">
      <c r="A46" s="108"/>
      <c r="C46" s="39"/>
    </row>
    <row r="47" spans="1:33" s="122" customFormat="1" x14ac:dyDescent="0.25">
      <c r="V47" s="380" t="s">
        <v>189</v>
      </c>
      <c r="W47" s="381"/>
      <c r="X47" s="381"/>
      <c r="Y47" s="381"/>
      <c r="Z47" s="381"/>
      <c r="AA47" s="381"/>
      <c r="AB47" s="381"/>
      <c r="AC47" s="381"/>
      <c r="AD47" s="381"/>
      <c r="AE47" s="381"/>
      <c r="AF47" s="381"/>
      <c r="AG47" s="382"/>
    </row>
    <row r="48" spans="1:33" s="122" customFormat="1" x14ac:dyDescent="0.25">
      <c r="V48" s="383"/>
      <c r="W48" s="384"/>
      <c r="X48" s="384"/>
      <c r="Y48" s="384"/>
      <c r="Z48" s="384"/>
      <c r="AA48" s="384"/>
      <c r="AB48" s="384"/>
      <c r="AC48" s="384"/>
      <c r="AD48" s="384"/>
      <c r="AE48" s="384"/>
      <c r="AF48" s="384"/>
      <c r="AG48" s="385"/>
    </row>
    <row r="49" spans="1:33" s="102" customFormat="1" x14ac:dyDescent="0.25">
      <c r="R49"/>
      <c r="V49" s="383"/>
      <c r="W49" s="384"/>
      <c r="X49" s="384"/>
      <c r="Y49" s="384"/>
      <c r="Z49" s="384"/>
      <c r="AA49" s="384"/>
      <c r="AB49" s="384"/>
      <c r="AC49" s="384"/>
      <c r="AD49" s="384"/>
      <c r="AE49" s="384"/>
      <c r="AF49" s="384"/>
      <c r="AG49" s="385"/>
    </row>
    <row r="50" spans="1:33" s="102" customFormat="1" ht="15.75" thickBot="1" x14ac:dyDescent="0.3">
      <c r="R50"/>
      <c r="V50" s="386"/>
      <c r="W50" s="387"/>
      <c r="X50" s="387"/>
      <c r="Y50" s="387"/>
      <c r="Z50" s="387"/>
      <c r="AA50" s="387"/>
      <c r="AB50" s="387"/>
      <c r="AC50" s="387"/>
      <c r="AD50" s="387"/>
      <c r="AE50" s="387"/>
      <c r="AF50" s="387"/>
      <c r="AG50" s="388"/>
    </row>
    <row r="51" spans="1:33" s="95" customFormat="1" x14ac:dyDescent="0.25">
      <c r="R51"/>
      <c r="V51" s="203" t="s">
        <v>224</v>
      </c>
      <c r="W51" s="122"/>
      <c r="X51" s="122"/>
      <c r="Y51" s="122"/>
      <c r="Z51" s="122"/>
      <c r="AA51" s="122"/>
      <c r="AB51" s="122"/>
      <c r="AC51" s="203" t="s">
        <v>224</v>
      </c>
      <c r="AD51" s="122"/>
      <c r="AE51" s="122"/>
    </row>
    <row r="52" spans="1:33" s="95" customFormat="1" x14ac:dyDescent="0.25">
      <c r="R52"/>
      <c r="V52" s="203" t="s">
        <v>225</v>
      </c>
      <c r="W52" s="122"/>
      <c r="X52" s="122"/>
      <c r="Y52" s="122"/>
      <c r="Z52" s="122"/>
      <c r="AA52" s="122"/>
      <c r="AB52" s="122"/>
      <c r="AC52" s="203" t="s">
        <v>226</v>
      </c>
      <c r="AD52" s="122"/>
      <c r="AE52" s="122"/>
      <c r="AF52" s="122"/>
      <c r="AG52" s="122"/>
    </row>
    <row r="53" spans="1:33" x14ac:dyDescent="0.25">
      <c r="V53" s="345"/>
      <c r="W53" s="346"/>
      <c r="X53" s="346" t="s">
        <v>1</v>
      </c>
      <c r="Y53" s="342" t="s">
        <v>177</v>
      </c>
      <c r="Z53" s="342" t="s">
        <v>178</v>
      </c>
      <c r="AA53" s="122"/>
      <c r="AB53" s="122"/>
      <c r="AC53" s="345"/>
      <c r="AD53" s="346"/>
      <c r="AE53" s="346" t="s">
        <v>1</v>
      </c>
      <c r="AF53" s="342" t="s">
        <v>177</v>
      </c>
      <c r="AG53" s="342" t="s">
        <v>178</v>
      </c>
    </row>
    <row r="54" spans="1:33" x14ac:dyDescent="0.25">
      <c r="V54" s="345" t="s">
        <v>0</v>
      </c>
      <c r="W54" s="346"/>
      <c r="X54" s="126">
        <f>Lähtötiedot!O35+Lähtötiedot!O43</f>
        <v>0</v>
      </c>
      <c r="Y54" s="113" t="e">
        <f>C27</f>
        <v>#DIV/0!</v>
      </c>
      <c r="Z54" s="161" t="e">
        <f>X54*Y54</f>
        <v>#DIV/0!</v>
      </c>
      <c r="AA54" s="122"/>
      <c r="AB54" s="122"/>
      <c r="AC54" s="345" t="s">
        <v>0</v>
      </c>
      <c r="AD54" s="346"/>
      <c r="AE54" s="126">
        <f>Lähtötiedot!S35+Lähtötiedot!S43</f>
        <v>0</v>
      </c>
      <c r="AF54" s="113" t="e">
        <f>C27*1.3</f>
        <v>#DIV/0!</v>
      </c>
      <c r="AG54" s="161" t="e">
        <f>AE54*AF54</f>
        <v>#DIV/0!</v>
      </c>
    </row>
    <row r="55" spans="1:33" x14ac:dyDescent="0.25">
      <c r="V55" s="342" t="s">
        <v>176</v>
      </c>
      <c r="W55" s="342"/>
      <c r="X55" s="126" t="e">
        <f ca="1">Lähtötiedot!O45</f>
        <v>#N/A</v>
      </c>
      <c r="Y55" s="113" t="e">
        <f>Y35</f>
        <v>#DIV/0!</v>
      </c>
      <c r="Z55" s="161" t="e">
        <f t="shared" ref="Z55:Z56" ca="1" si="32">X55*Y55</f>
        <v>#N/A</v>
      </c>
      <c r="AA55" s="122"/>
      <c r="AB55" s="122"/>
      <c r="AC55" s="342" t="s">
        <v>176</v>
      </c>
      <c r="AD55" s="342"/>
      <c r="AE55" s="126" t="e">
        <f ca="1">Lähtötiedot!S45</f>
        <v>#N/A</v>
      </c>
      <c r="AF55" s="113" t="e">
        <f>AF35</f>
        <v>#DIV/0!</v>
      </c>
      <c r="AG55" s="161" t="e">
        <f t="shared" ref="AG55:AG56" ca="1" si="33">AE55*AF55</f>
        <v>#N/A</v>
      </c>
    </row>
    <row r="56" spans="1:33" x14ac:dyDescent="0.25">
      <c r="R56" s="95"/>
      <c r="V56" s="342" t="s">
        <v>162</v>
      </c>
      <c r="W56" s="342"/>
      <c r="X56" s="126" t="e">
        <f ca="1">Lähtötiedot!O44+Lähtötiedot!O46</f>
        <v>#N/A</v>
      </c>
      <c r="Y56" s="113" t="e">
        <f>C29</f>
        <v>#DIV/0!</v>
      </c>
      <c r="Z56" s="161" t="e">
        <f t="shared" ca="1" si="32"/>
        <v>#N/A</v>
      </c>
      <c r="AA56" s="122"/>
      <c r="AB56" s="122"/>
      <c r="AC56" s="342" t="s">
        <v>162</v>
      </c>
      <c r="AD56" s="342"/>
      <c r="AE56" s="126" t="e">
        <f ca="1">Lähtötiedot!S44+Lähtötiedot!S46</f>
        <v>#N/A</v>
      </c>
      <c r="AF56" s="113" t="e">
        <f>C29</f>
        <v>#DIV/0!</v>
      </c>
      <c r="AG56" s="161" t="e">
        <f t="shared" ca="1" si="33"/>
        <v>#N/A</v>
      </c>
    </row>
    <row r="57" spans="1:33" x14ac:dyDescent="0.25">
      <c r="R57" s="102"/>
      <c r="V57" s="122"/>
      <c r="W57" s="122"/>
      <c r="X57" s="154"/>
      <c r="Y57" s="154" t="s">
        <v>179</v>
      </c>
      <c r="Z57" s="129" t="e">
        <f>SUM(Z54:Z56)</f>
        <v>#DIV/0!</v>
      </c>
      <c r="AA57" s="122"/>
      <c r="AB57" s="122"/>
      <c r="AC57" s="122"/>
      <c r="AD57" s="122"/>
      <c r="AE57" s="154"/>
      <c r="AF57" s="154" t="s">
        <v>179</v>
      </c>
      <c r="AG57" s="129" t="e">
        <f>SUM(AG54:AG56)</f>
        <v>#DIV/0!</v>
      </c>
    </row>
    <row r="58" spans="1:33" x14ac:dyDescent="0.25">
      <c r="R58" s="102"/>
      <c r="V58" s="122"/>
      <c r="W58" s="122"/>
      <c r="X58" s="122"/>
      <c r="Y58" s="122"/>
      <c r="Z58" s="122"/>
      <c r="AA58" s="122"/>
      <c r="AB58" s="122"/>
      <c r="AC58" s="122"/>
      <c r="AD58" s="122"/>
      <c r="AE58" s="122"/>
      <c r="AF58" s="122"/>
      <c r="AG58" s="122"/>
    </row>
    <row r="59" spans="1:33" x14ac:dyDescent="0.25">
      <c r="R59" s="102"/>
      <c r="V59" s="122"/>
      <c r="W59" s="122"/>
      <c r="X59" s="122"/>
      <c r="Y59" s="122"/>
      <c r="Z59" s="122"/>
      <c r="AA59" s="122"/>
      <c r="AB59" s="122"/>
      <c r="AC59" s="122"/>
      <c r="AD59" s="122"/>
      <c r="AE59" s="122"/>
      <c r="AF59" s="122"/>
      <c r="AG59" s="122"/>
    </row>
    <row r="60" spans="1:33" x14ac:dyDescent="0.25">
      <c r="R60" s="102"/>
      <c r="V60" s="345"/>
      <c r="W60" s="346"/>
      <c r="X60" s="342" t="s">
        <v>1</v>
      </c>
      <c r="Y60" s="342" t="s">
        <v>180</v>
      </c>
      <c r="Z60" s="342" t="s">
        <v>178</v>
      </c>
      <c r="AA60" s="122"/>
      <c r="AB60" s="122"/>
      <c r="AC60" s="345"/>
      <c r="AD60" s="346"/>
      <c r="AE60" s="342" t="s">
        <v>1</v>
      </c>
      <c r="AF60" s="342" t="s">
        <v>180</v>
      </c>
      <c r="AG60" s="342" t="s">
        <v>178</v>
      </c>
    </row>
    <row r="61" spans="1:33" s="102" customFormat="1" x14ac:dyDescent="0.25">
      <c r="V61" s="345" t="s">
        <v>0</v>
      </c>
      <c r="W61" s="346"/>
      <c r="X61" s="161">
        <f>X54</f>
        <v>0</v>
      </c>
      <c r="Y61" s="113" t="e">
        <f>J27</f>
        <v>#DIV/0!</v>
      </c>
      <c r="Z61" s="161" t="e">
        <f>X61*Y61</f>
        <v>#DIV/0!</v>
      </c>
      <c r="AA61" s="122"/>
      <c r="AB61" s="122"/>
      <c r="AC61" s="345" t="s">
        <v>0</v>
      </c>
      <c r="AD61" s="346"/>
      <c r="AE61" s="161">
        <f>AE54</f>
        <v>0</v>
      </c>
      <c r="AF61" s="113" t="e">
        <f>J27*1.3</f>
        <v>#DIV/0!</v>
      </c>
      <c r="AG61" s="161" t="e">
        <f>AE61*AF61</f>
        <v>#DIV/0!</v>
      </c>
    </row>
    <row r="62" spans="1:33" s="102" customFormat="1" x14ac:dyDescent="0.25">
      <c r="A62" s="122"/>
      <c r="B62" s="122"/>
      <c r="C62" s="122"/>
      <c r="D62" s="122"/>
      <c r="E62" s="122"/>
      <c r="F62" s="122"/>
      <c r="G62" s="122"/>
      <c r="H62" s="122"/>
      <c r="I62" s="122"/>
      <c r="J62" s="122"/>
      <c r="K62" s="122"/>
      <c r="L62" s="122"/>
      <c r="M62" s="122"/>
      <c r="N62" s="122"/>
      <c r="O62" s="122"/>
      <c r="P62" s="122"/>
      <c r="Q62" s="122"/>
      <c r="R62" s="122"/>
      <c r="V62" s="342" t="s">
        <v>176</v>
      </c>
      <c r="W62" s="342"/>
      <c r="X62" s="161" t="e">
        <f t="shared" ref="X62:X63" ca="1" si="34">X55</f>
        <v>#N/A</v>
      </c>
      <c r="Y62" s="113" t="e">
        <f>Y42</f>
        <v>#DIV/0!</v>
      </c>
      <c r="Z62" s="161" t="e">
        <f t="shared" ref="Z62:Z63" ca="1" si="35">X62*Y62</f>
        <v>#N/A</v>
      </c>
      <c r="AA62" s="122"/>
      <c r="AB62" s="122"/>
      <c r="AC62" s="342" t="s">
        <v>176</v>
      </c>
      <c r="AD62" s="342"/>
      <c r="AE62" s="161" t="e">
        <f t="shared" ref="AE62:AE63" ca="1" si="36">AE55</f>
        <v>#N/A</v>
      </c>
      <c r="AF62" s="113" t="e">
        <f>AF42</f>
        <v>#DIV/0!</v>
      </c>
      <c r="AG62" s="161" t="e">
        <f t="shared" ref="AG62:AG63" ca="1" si="37">AE62*AF62</f>
        <v>#N/A</v>
      </c>
    </row>
    <row r="63" spans="1:33" s="102" customFormat="1" x14ac:dyDescent="0.25">
      <c r="A63" s="122"/>
      <c r="B63" s="122"/>
      <c r="C63" s="122"/>
      <c r="D63" s="122"/>
      <c r="E63" s="122"/>
      <c r="F63" s="122"/>
      <c r="G63" s="122"/>
      <c r="H63" s="122"/>
      <c r="I63" s="122"/>
      <c r="J63" s="122"/>
      <c r="K63" s="122"/>
      <c r="L63" s="122"/>
      <c r="M63" s="122"/>
      <c r="N63" s="122"/>
      <c r="O63" s="122"/>
      <c r="P63" s="122"/>
      <c r="Q63" s="122"/>
      <c r="R63" s="122"/>
      <c r="V63" s="342" t="s">
        <v>162</v>
      </c>
      <c r="W63" s="342"/>
      <c r="X63" s="161" t="e">
        <f t="shared" ca="1" si="34"/>
        <v>#N/A</v>
      </c>
      <c r="Y63" s="113" t="e">
        <f>J29</f>
        <v>#DIV/0!</v>
      </c>
      <c r="Z63" s="161" t="e">
        <f t="shared" ca="1" si="35"/>
        <v>#N/A</v>
      </c>
      <c r="AA63" s="122"/>
      <c r="AB63" s="122"/>
      <c r="AC63" s="342" t="s">
        <v>162</v>
      </c>
      <c r="AD63" s="342"/>
      <c r="AE63" s="161" t="e">
        <f t="shared" ca="1" si="36"/>
        <v>#N/A</v>
      </c>
      <c r="AF63" s="113" t="e">
        <f>J29</f>
        <v>#DIV/0!</v>
      </c>
      <c r="AG63" s="161" t="e">
        <f t="shared" ca="1" si="37"/>
        <v>#N/A</v>
      </c>
    </row>
    <row r="64" spans="1:33" s="102" customFormat="1" x14ac:dyDescent="0.25">
      <c r="A64" s="122"/>
      <c r="B64" s="122"/>
      <c r="C64" s="122"/>
      <c r="D64" s="122"/>
      <c r="E64" s="122"/>
      <c r="F64" s="122"/>
      <c r="G64" s="122"/>
      <c r="H64" s="122"/>
      <c r="I64" s="122"/>
      <c r="J64" s="122"/>
      <c r="K64" s="122"/>
      <c r="L64" s="122"/>
      <c r="M64" s="122"/>
      <c r="N64" s="122"/>
      <c r="O64" s="122"/>
      <c r="P64" s="122"/>
      <c r="Q64" s="122"/>
      <c r="R64" s="122"/>
      <c r="V64" s="122"/>
      <c r="W64" s="154"/>
      <c r="X64" s="154"/>
      <c r="Y64" s="154" t="s">
        <v>181</v>
      </c>
      <c r="Z64" s="129" t="e">
        <f>SUM(Z61:Z63)</f>
        <v>#DIV/0!</v>
      </c>
      <c r="AA64" s="122"/>
      <c r="AB64" s="122"/>
      <c r="AC64" s="122"/>
      <c r="AD64" s="154"/>
      <c r="AE64" s="154"/>
      <c r="AF64" s="154" t="s">
        <v>181</v>
      </c>
      <c r="AG64" s="129" t="e">
        <f>SUM(AG61:AG63)</f>
        <v>#DIV/0!</v>
      </c>
    </row>
    <row r="65" spans="1:18" s="102" customFormat="1" x14ac:dyDescent="0.25">
      <c r="A65" s="122"/>
      <c r="B65" s="122"/>
      <c r="C65" s="122"/>
      <c r="D65" s="122"/>
      <c r="E65" s="122"/>
      <c r="F65" s="122"/>
      <c r="G65" s="122"/>
      <c r="H65" s="122"/>
      <c r="I65" s="122"/>
      <c r="J65" s="122"/>
      <c r="K65" s="122"/>
      <c r="L65" s="122"/>
      <c r="M65" s="122"/>
      <c r="N65" s="122"/>
      <c r="O65" s="122"/>
      <c r="P65" s="122"/>
      <c r="Q65" s="122"/>
      <c r="R65" s="122"/>
    </row>
    <row r="66" spans="1:18" s="102" customFormat="1" x14ac:dyDescent="0.25">
      <c r="A66" s="122"/>
      <c r="B66" s="122"/>
      <c r="C66" s="122"/>
      <c r="D66" s="122"/>
      <c r="E66" s="122"/>
      <c r="F66" s="122"/>
      <c r="G66" s="122"/>
      <c r="H66" s="122"/>
      <c r="I66" s="122"/>
      <c r="J66" s="122"/>
      <c r="K66" s="122"/>
      <c r="L66" s="122"/>
      <c r="M66" s="122"/>
      <c r="N66" s="122"/>
      <c r="O66" s="122"/>
      <c r="P66" s="122"/>
      <c r="Q66" s="122"/>
      <c r="R66" s="122"/>
    </row>
    <row r="67" spans="1:18" x14ac:dyDescent="0.25">
      <c r="A67" s="122"/>
      <c r="B67" s="122"/>
      <c r="C67" s="122"/>
      <c r="D67" s="122"/>
      <c r="E67" s="122"/>
      <c r="F67" s="122"/>
      <c r="G67" s="122"/>
      <c r="H67" s="122"/>
      <c r="I67" s="122"/>
      <c r="J67" s="122"/>
      <c r="K67" s="122"/>
      <c r="L67" s="122"/>
      <c r="M67" s="122"/>
      <c r="N67" s="122"/>
      <c r="O67" s="122"/>
      <c r="P67" s="122"/>
      <c r="Q67" s="122"/>
      <c r="R67" s="122"/>
    </row>
    <row r="68" spans="1:18" x14ac:dyDescent="0.25">
      <c r="A68" s="122"/>
      <c r="B68" s="122"/>
      <c r="C68" s="122"/>
      <c r="D68" s="122"/>
      <c r="E68" s="122"/>
      <c r="F68" s="122"/>
      <c r="G68" s="122"/>
      <c r="H68" s="122"/>
      <c r="I68" s="122"/>
      <c r="J68" s="122"/>
      <c r="K68" s="122"/>
      <c r="L68" s="122"/>
      <c r="M68" s="122"/>
      <c r="N68" s="122"/>
      <c r="O68" s="122"/>
      <c r="P68" s="122"/>
      <c r="Q68" s="122"/>
      <c r="R68" s="122"/>
    </row>
    <row r="69" spans="1:18" x14ac:dyDescent="0.25">
      <c r="A69" s="122"/>
      <c r="B69" s="122"/>
      <c r="C69" s="122"/>
      <c r="D69" s="122"/>
      <c r="E69" s="122"/>
      <c r="F69" s="122"/>
      <c r="G69" s="122"/>
      <c r="H69" s="122"/>
      <c r="I69" s="122"/>
      <c r="J69" s="122"/>
      <c r="K69" s="122"/>
      <c r="L69" s="122"/>
      <c r="M69" s="122"/>
      <c r="N69" s="122"/>
      <c r="O69" s="122"/>
      <c r="P69" s="122"/>
      <c r="Q69" s="122"/>
      <c r="R69" s="122"/>
    </row>
    <row r="70" spans="1:18" x14ac:dyDescent="0.25">
      <c r="A70" s="122"/>
      <c r="B70" s="122"/>
      <c r="C70" s="122"/>
      <c r="D70" s="122"/>
      <c r="E70" s="122"/>
      <c r="F70" s="122"/>
      <c r="G70" s="122"/>
      <c r="H70" s="122"/>
      <c r="I70" s="122"/>
      <c r="J70" s="122"/>
      <c r="K70" s="122"/>
      <c r="L70" s="122"/>
      <c r="M70" s="122"/>
      <c r="N70" s="122"/>
      <c r="O70" s="122"/>
      <c r="P70" s="122"/>
      <c r="Q70" s="122"/>
      <c r="R70" s="122"/>
    </row>
    <row r="71" spans="1:18" x14ac:dyDescent="0.25">
      <c r="A71" s="122"/>
      <c r="B71" s="122"/>
      <c r="C71" s="122"/>
      <c r="D71" s="122"/>
      <c r="E71" s="122"/>
      <c r="F71" s="122"/>
      <c r="G71" s="122"/>
      <c r="H71" s="122"/>
      <c r="I71" s="122"/>
      <c r="J71" s="122"/>
      <c r="K71" s="122"/>
      <c r="L71" s="122"/>
      <c r="M71" s="122"/>
      <c r="N71" s="122"/>
      <c r="O71" s="122"/>
      <c r="P71" s="122"/>
      <c r="Q71" s="122"/>
      <c r="R71" s="122"/>
    </row>
    <row r="72" spans="1:18" x14ac:dyDescent="0.25">
      <c r="A72" s="122"/>
      <c r="B72" s="122"/>
      <c r="C72" s="122"/>
      <c r="D72" s="122"/>
      <c r="E72" s="122"/>
      <c r="F72" s="122"/>
      <c r="G72" s="122"/>
      <c r="H72" s="122"/>
      <c r="I72" s="122"/>
      <c r="J72" s="122"/>
      <c r="K72" s="122"/>
      <c r="L72" s="122"/>
      <c r="M72" s="122"/>
      <c r="N72" s="122"/>
      <c r="O72" s="122"/>
      <c r="P72" s="122"/>
      <c r="Q72" s="122"/>
      <c r="R72" s="122"/>
    </row>
    <row r="73" spans="1:18" x14ac:dyDescent="0.25">
      <c r="A73" s="122"/>
      <c r="B73" s="122"/>
      <c r="C73" s="122"/>
      <c r="D73" s="122"/>
      <c r="E73" s="122"/>
      <c r="F73" s="122"/>
      <c r="G73" s="122"/>
      <c r="H73" s="122"/>
      <c r="I73" s="122"/>
      <c r="J73" s="122"/>
      <c r="K73" s="122"/>
      <c r="L73" s="122"/>
      <c r="M73" s="122"/>
      <c r="N73" s="122"/>
      <c r="O73" s="122"/>
      <c r="P73" s="122"/>
      <c r="Q73" s="122"/>
      <c r="R73" s="122"/>
    </row>
    <row r="74" spans="1:18" x14ac:dyDescent="0.25">
      <c r="A74" s="122"/>
      <c r="B74" s="122"/>
      <c r="C74" s="122"/>
      <c r="D74" s="122"/>
      <c r="E74" s="122"/>
      <c r="F74" s="122"/>
      <c r="G74" s="122"/>
      <c r="H74" s="122"/>
      <c r="I74" s="122"/>
      <c r="J74" s="122"/>
      <c r="K74" s="122"/>
      <c r="L74" s="122"/>
      <c r="M74" s="122"/>
      <c r="N74" s="122"/>
      <c r="O74" s="122"/>
      <c r="P74" s="122"/>
      <c r="Q74" s="122"/>
      <c r="R74" s="122"/>
    </row>
    <row r="75" spans="1:18" x14ac:dyDescent="0.25">
      <c r="A75" s="122"/>
      <c r="B75" s="122"/>
      <c r="C75" s="122"/>
      <c r="D75" s="122"/>
      <c r="E75" s="122"/>
      <c r="F75" s="122"/>
      <c r="G75" s="122"/>
      <c r="H75" s="122"/>
      <c r="I75" s="122"/>
      <c r="J75" s="122"/>
      <c r="K75" s="122"/>
      <c r="L75" s="122"/>
      <c r="M75" s="122"/>
      <c r="N75" s="122"/>
      <c r="O75" s="122"/>
      <c r="P75" s="122"/>
      <c r="Q75" s="122"/>
      <c r="R75" s="122"/>
    </row>
    <row r="76" spans="1:18" x14ac:dyDescent="0.25">
      <c r="A76" s="122"/>
      <c r="B76" s="122"/>
      <c r="C76" s="122"/>
      <c r="D76" s="122"/>
      <c r="E76" s="122"/>
      <c r="F76" s="122"/>
      <c r="G76" s="122"/>
      <c r="H76" s="122"/>
      <c r="I76" s="122"/>
      <c r="J76" s="122"/>
      <c r="K76" s="122"/>
      <c r="L76" s="122"/>
      <c r="M76" s="122"/>
      <c r="N76" s="122"/>
      <c r="O76" s="122"/>
      <c r="P76" s="122"/>
      <c r="Q76" s="122"/>
      <c r="R76" s="122"/>
    </row>
    <row r="77" spans="1:18" x14ac:dyDescent="0.25">
      <c r="A77" s="122"/>
      <c r="B77" s="122"/>
      <c r="C77" s="122"/>
      <c r="D77" s="122"/>
      <c r="E77" s="122"/>
      <c r="F77" s="122"/>
      <c r="G77" s="122"/>
      <c r="H77" s="122"/>
      <c r="I77" s="122"/>
      <c r="J77" s="122"/>
      <c r="K77" s="122"/>
      <c r="L77" s="122"/>
      <c r="M77" s="122"/>
      <c r="N77" s="122"/>
      <c r="O77" s="122"/>
      <c r="P77" s="122"/>
      <c r="Q77" s="122"/>
      <c r="R77" s="122"/>
    </row>
    <row r="78" spans="1:18" x14ac:dyDescent="0.25">
      <c r="A78" s="122"/>
      <c r="B78" s="122"/>
      <c r="C78" s="122"/>
      <c r="D78" s="122"/>
      <c r="E78" s="122"/>
      <c r="F78" s="122"/>
      <c r="G78" s="122"/>
      <c r="H78" s="122"/>
      <c r="I78" s="122"/>
      <c r="J78" s="122"/>
      <c r="K78" s="122"/>
      <c r="L78" s="122"/>
      <c r="M78" s="122"/>
      <c r="N78" s="122"/>
      <c r="O78" s="122"/>
      <c r="P78" s="122"/>
      <c r="Q78" s="122"/>
      <c r="R78" s="122"/>
    </row>
    <row r="79" spans="1:18" x14ac:dyDescent="0.25">
      <c r="A79" s="122"/>
      <c r="B79" s="122"/>
      <c r="C79" s="122"/>
      <c r="D79" s="122"/>
      <c r="E79" s="122"/>
      <c r="F79" s="122"/>
      <c r="G79" s="122"/>
      <c r="H79" s="122"/>
      <c r="I79" s="122"/>
      <c r="J79" s="122"/>
      <c r="K79" s="122"/>
      <c r="L79" s="122"/>
      <c r="M79" s="122"/>
      <c r="N79" s="122"/>
      <c r="O79" s="122"/>
      <c r="P79" s="122"/>
      <c r="Q79" s="122"/>
      <c r="R79" s="122"/>
    </row>
    <row r="80" spans="1:18" x14ac:dyDescent="0.25">
      <c r="A80" s="122"/>
      <c r="B80" s="122"/>
      <c r="C80" s="122"/>
      <c r="D80" s="122"/>
      <c r="E80" s="122"/>
      <c r="F80" s="122"/>
      <c r="G80" s="122"/>
      <c r="H80" s="122"/>
      <c r="I80" s="122"/>
      <c r="J80" s="122"/>
      <c r="K80" s="122"/>
      <c r="L80" s="122"/>
      <c r="M80" s="122"/>
      <c r="N80" s="122"/>
      <c r="O80" s="122"/>
      <c r="P80" s="122"/>
      <c r="Q80" s="122"/>
      <c r="R80" s="122"/>
    </row>
    <row r="81" spans="1:18" x14ac:dyDescent="0.25">
      <c r="A81" s="122"/>
      <c r="B81" s="122"/>
      <c r="C81" s="122"/>
      <c r="D81" s="122"/>
      <c r="E81" s="122"/>
      <c r="F81" s="122"/>
      <c r="G81" s="122"/>
      <c r="H81" s="122"/>
      <c r="I81" s="122"/>
      <c r="J81" s="122"/>
      <c r="K81" s="122"/>
      <c r="L81" s="122"/>
      <c r="M81" s="122"/>
      <c r="N81" s="122"/>
      <c r="O81" s="122"/>
      <c r="P81" s="122"/>
      <c r="Q81" s="122"/>
      <c r="R81" s="122"/>
    </row>
    <row r="82" spans="1:18" x14ac:dyDescent="0.25">
      <c r="A82" s="122"/>
      <c r="B82" s="122"/>
      <c r="C82" s="122"/>
      <c r="D82" s="122"/>
      <c r="E82" s="122"/>
      <c r="F82" s="122"/>
      <c r="G82" s="122"/>
      <c r="H82" s="122"/>
      <c r="I82" s="122"/>
      <c r="J82" s="122"/>
      <c r="K82" s="122"/>
      <c r="L82" s="122"/>
      <c r="M82" s="122"/>
      <c r="N82" s="122"/>
      <c r="O82" s="122"/>
      <c r="P82" s="122"/>
      <c r="Q82" s="122"/>
      <c r="R82" s="122"/>
    </row>
    <row r="83" spans="1:18" x14ac:dyDescent="0.25">
      <c r="A83" s="122"/>
      <c r="B83" s="122"/>
      <c r="C83" s="122"/>
      <c r="D83" s="122"/>
      <c r="E83" s="122"/>
      <c r="F83" s="122"/>
      <c r="G83" s="122"/>
      <c r="H83" s="122"/>
      <c r="I83" s="122"/>
      <c r="J83" s="122"/>
      <c r="K83" s="122"/>
      <c r="L83" s="122"/>
      <c r="M83" s="122"/>
      <c r="N83" s="122"/>
      <c r="O83" s="122"/>
      <c r="P83" s="122"/>
      <c r="Q83" s="122"/>
      <c r="R83" s="122"/>
    </row>
    <row r="84" spans="1:18" x14ac:dyDescent="0.25">
      <c r="A84" s="122"/>
      <c r="B84" s="122"/>
      <c r="C84" s="122"/>
      <c r="D84" s="122"/>
      <c r="E84" s="122"/>
      <c r="F84" s="122"/>
      <c r="G84" s="122"/>
      <c r="H84" s="122"/>
      <c r="I84" s="122"/>
      <c r="J84" s="122"/>
      <c r="K84" s="122"/>
      <c r="L84" s="122"/>
      <c r="M84" s="122"/>
      <c r="N84" s="122"/>
      <c r="O84" s="122"/>
      <c r="P84" s="122"/>
      <c r="Q84" s="122"/>
      <c r="R84" s="122"/>
    </row>
    <row r="85" spans="1:18" x14ac:dyDescent="0.25">
      <c r="A85" s="122"/>
      <c r="B85" s="122"/>
      <c r="C85" s="122"/>
      <c r="D85" s="122"/>
      <c r="E85" s="122"/>
      <c r="F85" s="122"/>
      <c r="G85" s="122"/>
      <c r="H85" s="122"/>
      <c r="I85" s="122"/>
      <c r="J85" s="122"/>
      <c r="K85" s="122"/>
      <c r="L85" s="122"/>
      <c r="M85" s="122"/>
      <c r="N85" s="122"/>
      <c r="O85" s="122"/>
      <c r="P85" s="122"/>
      <c r="Q85" s="122"/>
      <c r="R85" s="122"/>
    </row>
    <row r="86" spans="1:18" x14ac:dyDescent="0.25">
      <c r="A86" s="122"/>
      <c r="B86" s="122"/>
      <c r="C86" s="122"/>
      <c r="D86" s="122"/>
      <c r="E86" s="122"/>
      <c r="F86" s="122"/>
      <c r="G86" s="122"/>
      <c r="H86" s="122"/>
      <c r="I86" s="122"/>
      <c r="J86" s="122"/>
      <c r="K86" s="122"/>
      <c r="L86" s="122"/>
      <c r="M86" s="122"/>
      <c r="N86" s="122"/>
      <c r="O86" s="122"/>
      <c r="P86" s="122"/>
      <c r="Q86" s="122"/>
      <c r="R86" s="122"/>
    </row>
    <row r="87" spans="1:18" x14ac:dyDescent="0.25">
      <c r="A87" s="122"/>
      <c r="B87" s="122"/>
      <c r="C87" s="122"/>
      <c r="D87" s="122"/>
      <c r="E87" s="122"/>
      <c r="F87" s="122"/>
      <c r="G87" s="122"/>
      <c r="H87" s="122"/>
      <c r="I87" s="122"/>
      <c r="J87" s="122"/>
      <c r="K87" s="122"/>
      <c r="L87" s="122"/>
      <c r="M87" s="122"/>
      <c r="N87" s="122"/>
      <c r="O87" s="122"/>
      <c r="P87" s="122"/>
      <c r="Q87" s="122"/>
      <c r="R87" s="122"/>
    </row>
    <row r="88" spans="1:18" x14ac:dyDescent="0.25">
      <c r="A88" s="122"/>
      <c r="B88" s="122"/>
      <c r="C88" s="122"/>
      <c r="D88" s="122"/>
      <c r="E88" s="122"/>
      <c r="F88" s="122"/>
      <c r="G88" s="122"/>
      <c r="H88" s="122"/>
      <c r="I88" s="122"/>
      <c r="J88" s="122"/>
      <c r="K88" s="122"/>
      <c r="L88" s="122"/>
      <c r="M88" s="122"/>
      <c r="N88" s="122"/>
      <c r="O88" s="122"/>
      <c r="P88" s="122"/>
      <c r="Q88" s="122"/>
      <c r="R88" s="122"/>
    </row>
    <row r="89" spans="1:18" x14ac:dyDescent="0.25">
      <c r="A89" s="122"/>
      <c r="B89" s="122"/>
      <c r="C89" s="122"/>
      <c r="D89" s="122"/>
      <c r="E89" s="122"/>
      <c r="F89" s="122"/>
      <c r="G89" s="122"/>
      <c r="H89" s="122"/>
      <c r="I89" s="122"/>
      <c r="J89" s="122"/>
      <c r="K89" s="122"/>
      <c r="L89" s="122"/>
      <c r="M89" s="122"/>
      <c r="N89" s="122"/>
      <c r="O89" s="122"/>
      <c r="P89" s="122"/>
      <c r="Q89" s="122"/>
      <c r="R89" s="122"/>
    </row>
    <row r="90" spans="1:18" x14ac:dyDescent="0.25">
      <c r="A90" s="122"/>
      <c r="B90" s="122"/>
      <c r="C90" s="122"/>
      <c r="D90" s="122"/>
      <c r="E90" s="122"/>
      <c r="F90" s="122"/>
      <c r="G90" s="122"/>
      <c r="H90" s="122"/>
      <c r="I90" s="122"/>
      <c r="J90" s="122"/>
      <c r="K90" s="122"/>
      <c r="L90" s="122"/>
      <c r="M90" s="122"/>
      <c r="N90" s="122"/>
      <c r="O90" s="122"/>
      <c r="P90" s="122"/>
      <c r="Q90" s="122"/>
      <c r="R90" s="122"/>
    </row>
    <row r="91" spans="1:18" x14ac:dyDescent="0.25">
      <c r="A91" s="122"/>
      <c r="B91" s="122"/>
      <c r="C91" s="122"/>
      <c r="D91" s="122"/>
      <c r="E91" s="122"/>
      <c r="F91" s="122"/>
      <c r="G91" s="122"/>
      <c r="H91" s="122"/>
      <c r="I91" s="122"/>
      <c r="J91" s="122"/>
      <c r="K91" s="122"/>
      <c r="L91" s="122"/>
      <c r="M91" s="122"/>
      <c r="N91" s="122"/>
      <c r="O91" s="122"/>
      <c r="P91" s="122"/>
      <c r="Q91" s="122"/>
      <c r="R91" s="122"/>
    </row>
    <row r="92" spans="1:18" x14ac:dyDescent="0.25">
      <c r="A92" s="122"/>
      <c r="B92" s="122"/>
      <c r="C92" s="122"/>
      <c r="D92" s="122"/>
      <c r="E92" s="122"/>
      <c r="F92" s="122"/>
      <c r="G92" s="122"/>
      <c r="H92" s="122"/>
      <c r="I92" s="122"/>
      <c r="J92" s="122"/>
      <c r="K92" s="122"/>
      <c r="L92" s="122"/>
      <c r="M92" s="122"/>
      <c r="N92" s="122"/>
      <c r="O92" s="122"/>
      <c r="P92" s="122"/>
      <c r="Q92" s="122"/>
      <c r="R92" s="122"/>
    </row>
    <row r="93" spans="1:18" x14ac:dyDescent="0.25">
      <c r="A93" s="122"/>
      <c r="B93" s="122"/>
      <c r="C93" s="122"/>
      <c r="D93" s="122"/>
      <c r="E93" s="122"/>
      <c r="F93" s="122"/>
      <c r="G93" s="122"/>
      <c r="H93" s="122"/>
      <c r="I93" s="122"/>
      <c r="J93" s="122"/>
      <c r="K93" s="122"/>
      <c r="L93" s="122"/>
      <c r="M93" s="122"/>
      <c r="N93" s="122"/>
      <c r="O93" s="122"/>
      <c r="P93" s="122"/>
      <c r="Q93" s="122"/>
      <c r="R93" s="122"/>
    </row>
    <row r="94" spans="1:18" x14ac:dyDescent="0.25">
      <c r="A94" s="122"/>
      <c r="B94" s="122"/>
      <c r="C94" s="122"/>
      <c r="D94" s="122"/>
      <c r="E94" s="122"/>
      <c r="F94" s="122"/>
      <c r="G94" s="122"/>
      <c r="H94" s="122"/>
      <c r="I94" s="122"/>
      <c r="J94" s="122"/>
      <c r="K94" s="122"/>
      <c r="L94" s="122"/>
      <c r="M94" s="122"/>
      <c r="N94" s="122"/>
      <c r="O94" s="122"/>
      <c r="P94" s="122"/>
      <c r="Q94" s="122"/>
      <c r="R94" s="122"/>
    </row>
    <row r="95" spans="1:18" x14ac:dyDescent="0.25">
      <c r="A95" s="122"/>
      <c r="B95" s="122"/>
      <c r="C95" s="122"/>
      <c r="D95" s="122"/>
      <c r="E95" s="122"/>
      <c r="F95" s="122"/>
      <c r="G95" s="122"/>
      <c r="H95" s="122"/>
      <c r="I95" s="122"/>
      <c r="J95" s="122"/>
      <c r="K95" s="122"/>
      <c r="L95" s="122"/>
      <c r="M95" s="122"/>
      <c r="N95" s="122"/>
      <c r="O95" s="122"/>
      <c r="P95" s="122"/>
      <c r="Q95" s="122"/>
      <c r="R95" s="122"/>
    </row>
    <row r="96" spans="1:18" x14ac:dyDescent="0.25">
      <c r="A96" s="122"/>
      <c r="B96" s="122"/>
      <c r="C96" s="122"/>
      <c r="D96" s="122"/>
      <c r="E96" s="122"/>
      <c r="F96" s="122"/>
      <c r="G96" s="122"/>
      <c r="H96" s="122"/>
      <c r="I96" s="122"/>
      <c r="J96" s="122"/>
      <c r="K96" s="122"/>
      <c r="L96" s="122"/>
      <c r="M96" s="122"/>
      <c r="N96" s="122"/>
      <c r="O96" s="122"/>
      <c r="P96" s="122"/>
      <c r="Q96" s="122"/>
      <c r="R96" s="122"/>
    </row>
    <row r="97" spans="1:18" x14ac:dyDescent="0.25">
      <c r="A97" s="122"/>
      <c r="B97" s="122"/>
      <c r="C97" s="122"/>
      <c r="D97" s="122"/>
      <c r="E97" s="122"/>
      <c r="F97" s="122"/>
      <c r="G97" s="122"/>
      <c r="H97" s="122"/>
      <c r="I97" s="122"/>
      <c r="J97" s="122"/>
      <c r="K97" s="122"/>
      <c r="L97" s="122"/>
      <c r="M97" s="122"/>
      <c r="N97" s="122"/>
      <c r="O97" s="122"/>
      <c r="P97" s="122"/>
      <c r="Q97" s="122"/>
      <c r="R97" s="122"/>
    </row>
    <row r="98" spans="1:18" x14ac:dyDescent="0.25">
      <c r="A98" s="122"/>
      <c r="B98" s="122"/>
      <c r="C98" s="122"/>
      <c r="D98" s="122"/>
      <c r="E98" s="122"/>
      <c r="F98" s="122"/>
      <c r="G98" s="122"/>
      <c r="H98" s="122"/>
      <c r="I98" s="122"/>
      <c r="J98" s="122"/>
      <c r="K98" s="122"/>
      <c r="L98" s="122"/>
      <c r="M98" s="122"/>
      <c r="N98" s="122"/>
      <c r="O98" s="122"/>
      <c r="P98" s="122"/>
      <c r="Q98" s="122"/>
      <c r="R98" s="122"/>
    </row>
    <row r="99" spans="1:18" x14ac:dyDescent="0.25">
      <c r="A99" s="122"/>
      <c r="B99" s="122"/>
      <c r="C99" s="122"/>
      <c r="D99" s="122"/>
      <c r="E99" s="122"/>
      <c r="F99" s="122"/>
      <c r="G99" s="122"/>
      <c r="H99" s="122"/>
      <c r="I99" s="122"/>
      <c r="J99" s="122"/>
      <c r="K99" s="122"/>
      <c r="L99" s="122"/>
      <c r="M99" s="122"/>
      <c r="N99" s="122"/>
      <c r="O99" s="122"/>
      <c r="P99" s="122"/>
      <c r="Q99" s="122"/>
      <c r="R99" s="122"/>
    </row>
    <row r="100" spans="1:18" x14ac:dyDescent="0.25">
      <c r="A100" s="122"/>
      <c r="B100" s="122"/>
      <c r="C100" s="122"/>
      <c r="D100" s="122"/>
      <c r="E100" s="122"/>
      <c r="F100" s="122"/>
      <c r="G100" s="122"/>
      <c r="H100" s="122"/>
      <c r="I100" s="122"/>
      <c r="J100" s="122"/>
      <c r="K100" s="122"/>
      <c r="L100" s="122"/>
      <c r="M100" s="122"/>
      <c r="N100" s="122"/>
      <c r="O100" s="122"/>
      <c r="P100" s="122"/>
      <c r="Q100" s="122"/>
      <c r="R100" s="122"/>
    </row>
    <row r="101" spans="1:18" x14ac:dyDescent="0.25">
      <c r="A101" s="122"/>
      <c r="B101" s="122"/>
      <c r="C101" s="122"/>
      <c r="D101" s="122"/>
      <c r="E101" s="122"/>
      <c r="F101" s="122"/>
      <c r="G101" s="122"/>
      <c r="H101" s="122"/>
      <c r="I101" s="122"/>
      <c r="J101" s="122"/>
      <c r="K101" s="122"/>
      <c r="L101" s="122"/>
      <c r="M101" s="122"/>
      <c r="N101" s="122"/>
      <c r="O101" s="122"/>
      <c r="P101" s="122"/>
      <c r="Q101" s="122"/>
      <c r="R101" s="122"/>
    </row>
  </sheetData>
  <sheetProtection algorithmName="SHA-512" hashValue="hLmAe/dQFAX2SbMd9yavWmcgkxo9sGMTMeuMYVFevZGw9dGr7CaECsmmP4XFZ7bYIlPeCDOvVlz/saWe56n+Zg==" saltValue="x1SyEhttUSDJxB81PjVFHA==" spinCount="100000" sheet="1" objects="1" scenarios="1"/>
  <mergeCells count="13">
    <mergeCell ref="H27:I27"/>
    <mergeCell ref="H26:I26"/>
    <mergeCell ref="H28:I28"/>
    <mergeCell ref="V47:AG50"/>
    <mergeCell ref="H43:I43"/>
    <mergeCell ref="H42:I42"/>
    <mergeCell ref="H41:I41"/>
    <mergeCell ref="H40:I40"/>
    <mergeCell ref="H35:I35"/>
    <mergeCell ref="H34:I34"/>
    <mergeCell ref="H33:I33"/>
    <mergeCell ref="H36:I36"/>
    <mergeCell ref="H29:I29"/>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72"/>
  <sheetViews>
    <sheetView zoomScaleNormal="100" workbookViewId="0">
      <selection activeCell="K4" sqref="K4"/>
    </sheetView>
  </sheetViews>
  <sheetFormatPr defaultRowHeight="15" x14ac:dyDescent="0.25"/>
  <cols>
    <col min="1" max="1" width="8.5703125" style="122" customWidth="1"/>
    <col min="2" max="2" width="20.7109375" customWidth="1"/>
    <col min="3" max="3" width="10" customWidth="1"/>
    <col min="4" max="4" width="10.140625" bestFit="1" customWidth="1"/>
    <col min="5" max="5" width="11.5703125" customWidth="1"/>
    <col min="6" max="6" width="11.42578125" bestFit="1" customWidth="1"/>
    <col min="7" max="7" width="10.140625" style="122" customWidth="1"/>
    <col min="8" max="8" width="19.42578125" customWidth="1"/>
    <col min="9" max="9" width="10" customWidth="1"/>
    <col min="10" max="10" width="10.140625" bestFit="1" customWidth="1"/>
    <col min="11" max="11" width="11.140625" customWidth="1"/>
    <col min="12" max="12" width="10.5703125" customWidth="1"/>
    <col min="13" max="13" width="22.28515625" bestFit="1" customWidth="1"/>
    <col min="14" max="14" width="10" customWidth="1"/>
    <col min="15" max="16" width="12.5703125" bestFit="1" customWidth="1"/>
    <col min="18" max="18" width="22.28515625" bestFit="1" customWidth="1"/>
    <col min="19" max="19" width="10" customWidth="1"/>
    <col min="20" max="20" width="10.140625" bestFit="1" customWidth="1"/>
    <col min="21" max="21" width="11.7109375" bestFit="1" customWidth="1"/>
    <col min="23" max="23" width="22.28515625" bestFit="1" customWidth="1"/>
    <col min="24" max="24" width="10" customWidth="1"/>
    <col min="25" max="25" width="10.140625" bestFit="1" customWidth="1"/>
    <col min="26" max="26" width="11.7109375" bestFit="1" customWidth="1"/>
    <col min="28" max="28" width="14.7109375" bestFit="1" customWidth="1"/>
    <col min="29" max="29" width="9.42578125" customWidth="1"/>
    <col min="30" max="30" width="10.5703125" customWidth="1"/>
    <col min="31" max="31" width="11.7109375" bestFit="1" customWidth="1"/>
    <col min="33" max="33" width="14.7109375" bestFit="1" customWidth="1"/>
    <col min="35" max="35" width="10.42578125" customWidth="1"/>
    <col min="36" max="36" width="11.7109375" bestFit="1" customWidth="1"/>
  </cols>
  <sheetData>
    <row r="1" spans="1:36" ht="15.75" x14ac:dyDescent="0.25">
      <c r="A1" s="296" t="s">
        <v>267</v>
      </c>
    </row>
    <row r="2" spans="1:36" ht="15" customHeight="1" x14ac:dyDescent="0.5">
      <c r="B2" s="391" t="s">
        <v>244</v>
      </c>
      <c r="C2" s="391"/>
      <c r="D2" s="391"/>
      <c r="E2" s="391"/>
      <c r="F2" s="198"/>
      <c r="G2" s="198"/>
      <c r="H2" s="198"/>
    </row>
    <row r="3" spans="1:36" ht="15.75" customHeight="1" x14ac:dyDescent="0.5">
      <c r="B3" s="391"/>
      <c r="C3" s="391"/>
      <c r="D3" s="391"/>
      <c r="E3" s="391"/>
      <c r="F3" s="198"/>
      <c r="G3" s="198"/>
      <c r="H3" s="198"/>
      <c r="N3" s="122"/>
    </row>
    <row r="4" spans="1:36" s="122" customFormat="1" ht="15.75" customHeight="1" x14ac:dyDescent="0.5">
      <c r="F4" s="191"/>
      <c r="H4" s="191"/>
    </row>
    <row r="5" spans="1:36" s="122" customFormat="1" ht="15.75" customHeight="1" x14ac:dyDescent="0.5">
      <c r="B5" s="295" t="s">
        <v>269</v>
      </c>
      <c r="F5" s="191"/>
      <c r="H5" s="295" t="s">
        <v>268</v>
      </c>
      <c r="N5" s="211" t="s">
        <v>247</v>
      </c>
      <c r="O5" s="211"/>
    </row>
    <row r="6" spans="1:36" x14ac:dyDescent="0.25">
      <c r="B6" s="252"/>
      <c r="C6" s="209" t="s">
        <v>245</v>
      </c>
      <c r="D6" s="209" t="s">
        <v>246</v>
      </c>
      <c r="E6" s="209" t="s">
        <v>204</v>
      </c>
      <c r="F6" s="209" t="s">
        <v>203</v>
      </c>
      <c r="H6" s="209"/>
      <c r="I6" s="209" t="s">
        <v>25</v>
      </c>
      <c r="J6" s="341" t="s">
        <v>26</v>
      </c>
      <c r="K6" s="209" t="s">
        <v>85</v>
      </c>
      <c r="M6" s="210"/>
      <c r="N6" s="342" t="s">
        <v>300</v>
      </c>
      <c r="O6" s="342" t="s">
        <v>301</v>
      </c>
      <c r="P6" s="342" t="s">
        <v>302</v>
      </c>
      <c r="R6" s="122"/>
      <c r="T6" s="122"/>
      <c r="U6" s="122"/>
      <c r="W6" s="122"/>
      <c r="X6" s="122"/>
      <c r="Y6" s="122"/>
      <c r="Z6" s="122"/>
    </row>
    <row r="7" spans="1:36" x14ac:dyDescent="0.25">
      <c r="B7" s="445" t="s">
        <v>201</v>
      </c>
      <c r="C7" s="424"/>
      <c r="D7" s="427"/>
      <c r="E7" s="446"/>
      <c r="F7" s="164">
        <f>D7*E7</f>
        <v>0</v>
      </c>
      <c r="H7" s="209" t="str">
        <f>B7</f>
        <v>Olki</v>
      </c>
      <c r="I7" s="425"/>
      <c r="J7" s="425"/>
      <c r="K7" s="90">
        <f>SUM(I7:J7)</f>
        <v>0</v>
      </c>
      <c r="M7" s="184" t="str">
        <f>B7</f>
        <v>Olki</v>
      </c>
      <c r="N7" s="165" t="e">
        <f>(C7+D7)*I7/(Lähtötiedot!$C$8+Lähtötiedot!$C$16)</f>
        <v>#DIV/0!</v>
      </c>
      <c r="O7" s="165" t="e">
        <f>(((C7+D7)*J7)*(Lähtötiedot!$C$17*Ruokinta!$F$37)/(Lähtötiedot!$C$17*Ruokinta!$F$37+Ruokinta!$F$53*(Lähtötiedot!$C$18+Lähtötiedot!$C$19)))/Lähtötiedot!$C$17</f>
        <v>#DIV/0!</v>
      </c>
      <c r="P7" s="165">
        <f>IF(Lähtötiedot!$C$18+Lähtötiedot!$C$19=0,0,(((C7+D7)*J7)*(Ruokinta!$F$53*(Lähtötiedot!$C$18+Lähtötiedot!$C$19)/(Lähtötiedot!$C$17*Ruokinta!$F$37+Ruokinta!$F$53*(Lähtötiedot!$C$18+Lähtötiedot!$C$19))))/(Lähtötiedot!$C$18+Lähtötiedot!$C$19))</f>
        <v>0</v>
      </c>
      <c r="R7" s="196"/>
      <c r="T7" s="122"/>
      <c r="U7" s="122"/>
      <c r="W7" s="122"/>
      <c r="X7" s="122"/>
      <c r="Y7" s="122"/>
      <c r="Z7" s="122"/>
    </row>
    <row r="8" spans="1:36" x14ac:dyDescent="0.25">
      <c r="B8" s="445" t="s">
        <v>202</v>
      </c>
      <c r="C8" s="424"/>
      <c r="D8" s="427"/>
      <c r="E8" s="446"/>
      <c r="F8" s="164">
        <f>D8*E8</f>
        <v>0</v>
      </c>
      <c r="H8" s="209" t="str">
        <f>B8</f>
        <v>Turve</v>
      </c>
      <c r="I8" s="425"/>
      <c r="J8" s="425"/>
      <c r="K8" s="90">
        <f>SUM(I8:J8)</f>
        <v>0</v>
      </c>
      <c r="M8" s="184" t="str">
        <f>B8</f>
        <v>Turve</v>
      </c>
      <c r="N8" s="165" t="e">
        <f>(C8+D8)*I8/(Lähtötiedot!$C$8+Lähtötiedot!$C$16)</f>
        <v>#DIV/0!</v>
      </c>
      <c r="O8" s="165" t="e">
        <f>(((C8+D8)*J8)*(Lähtötiedot!$C$17*Ruokinta!$F$37)/(Lähtötiedot!$C$17*Ruokinta!$F$37+Ruokinta!$F$53*(Lähtötiedot!$C$18+Lähtötiedot!$C$19)))/Lähtötiedot!$C$17</f>
        <v>#DIV/0!</v>
      </c>
      <c r="P8" s="165">
        <f>IF(Lähtötiedot!$C$18+Lähtötiedot!$C$19=0,0,(((C8+D8)*J8)*(Ruokinta!$F$53*(Lähtötiedot!$C$18+Lähtötiedot!$C$19)/(Lähtötiedot!$C$17*Ruokinta!$F$37+Ruokinta!$F$53*(Lähtötiedot!$C$18+Lähtötiedot!$C$19))))/(Lähtötiedot!$C$18+Lähtötiedot!$C$19))</f>
        <v>0</v>
      </c>
      <c r="R8" s="196"/>
      <c r="T8" s="122"/>
      <c r="U8" s="122"/>
      <c r="W8" s="122"/>
      <c r="X8" s="122"/>
      <c r="Y8" s="122"/>
      <c r="Z8" s="122"/>
    </row>
    <row r="9" spans="1:36" x14ac:dyDescent="0.25">
      <c r="B9" s="445"/>
      <c r="C9" s="424"/>
      <c r="D9" s="427"/>
      <c r="E9" s="446"/>
      <c r="F9" s="164"/>
      <c r="H9" s="209">
        <f>B9</f>
        <v>0</v>
      </c>
      <c r="I9" s="425"/>
      <c r="J9" s="425"/>
      <c r="K9" s="90">
        <f>SUM(I9:J9)</f>
        <v>0</v>
      </c>
      <c r="M9" s="184">
        <f>B9</f>
        <v>0</v>
      </c>
      <c r="N9" s="165" t="e">
        <f>(C9+D9)*I9/(Lähtötiedot!$C$8+Lähtötiedot!$C$16)</f>
        <v>#DIV/0!</v>
      </c>
      <c r="O9" s="165" t="e">
        <f>(((C9+D9)*J9)*(Lähtötiedot!$C$17*Ruokinta!$F$37)/(Lähtötiedot!$C$17*Ruokinta!$F$37+Ruokinta!$F$53*(Lähtötiedot!$C$18+Lähtötiedot!$C$19)))/Lähtötiedot!$C$17</f>
        <v>#DIV/0!</v>
      </c>
      <c r="P9" s="165">
        <f>IF(Lähtötiedot!$C$18+Lähtötiedot!$C$19=0,0,(((C9+D9)*J9)*(Ruokinta!$F$53*(Lähtötiedot!$C$18+Lähtötiedot!$C$19)/(Lähtötiedot!$C$17*Ruokinta!$F$37+Ruokinta!$F$53*(Lähtötiedot!$C$18+Lähtötiedot!$C$19))))/(Lähtötiedot!$C$18+Lähtötiedot!$C$19))</f>
        <v>0</v>
      </c>
      <c r="R9" s="196"/>
      <c r="T9" s="122"/>
      <c r="U9" s="122"/>
      <c r="W9" s="122"/>
      <c r="X9" s="122"/>
      <c r="Y9" s="122"/>
      <c r="Z9" s="122"/>
    </row>
    <row r="10" spans="1:36" x14ac:dyDescent="0.25">
      <c r="B10" s="445"/>
      <c r="C10" s="424"/>
      <c r="D10" s="427"/>
      <c r="E10" s="446"/>
      <c r="F10" s="164"/>
      <c r="H10" s="209">
        <f>B10</f>
        <v>0</v>
      </c>
      <c r="I10" s="425"/>
      <c r="J10" s="425"/>
      <c r="K10" s="90">
        <f>SUM(I10:J10)</f>
        <v>0</v>
      </c>
      <c r="M10" s="184">
        <f>B10</f>
        <v>0</v>
      </c>
      <c r="N10" s="165" t="e">
        <f>(C10+D10)*I10/(Lähtötiedot!$C$8+Lähtötiedot!$C$16)</f>
        <v>#DIV/0!</v>
      </c>
      <c r="O10" s="165" t="e">
        <f>(((C10+D10)*J10)*(Lähtötiedot!$C$17*Ruokinta!$F$37)/(Lähtötiedot!$C$17*Ruokinta!$F$37+Ruokinta!$F$53*(Lähtötiedot!$C$18+Lähtötiedot!$C$19)))/Lähtötiedot!$C$17</f>
        <v>#DIV/0!</v>
      </c>
      <c r="P10" s="165">
        <f>IF(Lähtötiedot!$C$18+Lähtötiedot!$C$19=0,0,(((C10+D10)*J10)*(Ruokinta!$F$53*(Lähtötiedot!$C$18+Lähtötiedot!$C$19)/(Lähtötiedot!$C$17*Ruokinta!$F$37+Ruokinta!$F$53*(Lähtötiedot!$C$18+Lähtötiedot!$C$19))))/(Lähtötiedot!$C$18+Lähtötiedot!$C$19))</f>
        <v>0</v>
      </c>
      <c r="R10" s="196"/>
      <c r="T10" s="122"/>
      <c r="U10" s="122"/>
      <c r="W10" s="122"/>
      <c r="X10" s="122"/>
      <c r="Y10" s="122"/>
      <c r="Z10" s="122"/>
    </row>
    <row r="11" spans="1:36" x14ac:dyDescent="0.25">
      <c r="B11" s="205" t="s">
        <v>85</v>
      </c>
      <c r="C11" s="122"/>
      <c r="D11" s="159"/>
      <c r="F11" s="245">
        <f>SUM(F7:F10)</f>
        <v>0</v>
      </c>
      <c r="H11" s="122"/>
      <c r="I11" s="122"/>
      <c r="J11" s="122"/>
      <c r="K11" s="168"/>
      <c r="M11" s="122"/>
      <c r="N11" s="122"/>
      <c r="O11" s="122"/>
      <c r="P11" s="122"/>
      <c r="R11" s="122"/>
      <c r="S11" s="122"/>
      <c r="T11" s="122"/>
      <c r="U11" s="122"/>
      <c r="W11" s="122"/>
      <c r="X11" s="122"/>
      <c r="Y11" s="122"/>
      <c r="Z11" s="122"/>
      <c r="AB11" s="122" t="s">
        <v>189</v>
      </c>
    </row>
    <row r="12" spans="1:36" x14ac:dyDescent="0.25">
      <c r="H12" s="122"/>
      <c r="I12" s="122"/>
      <c r="J12" s="122"/>
      <c r="K12" s="122"/>
      <c r="M12" s="122"/>
      <c r="N12" s="122"/>
      <c r="O12" s="122"/>
      <c r="P12" s="122"/>
      <c r="R12" s="122"/>
      <c r="S12" s="122"/>
      <c r="T12" s="122"/>
      <c r="U12" s="122"/>
      <c r="W12" s="122"/>
      <c r="X12" s="122"/>
      <c r="Y12" s="122"/>
      <c r="Z12" s="122"/>
    </row>
    <row r="13" spans="1:36" s="122" customFormat="1" x14ac:dyDescent="0.25">
      <c r="J13" s="183"/>
      <c r="K13" s="183"/>
      <c r="L13" s="183"/>
      <c r="M13" s="192" t="s">
        <v>288</v>
      </c>
      <c r="R13" s="181" t="s">
        <v>224</v>
      </c>
      <c r="S13" s="56"/>
      <c r="W13" s="181" t="s">
        <v>224</v>
      </c>
      <c r="AB13" s="295" t="s">
        <v>224</v>
      </c>
      <c r="AG13" s="295" t="s">
        <v>224</v>
      </c>
    </row>
    <row r="14" spans="1:36" s="122" customFormat="1" ht="18" customHeight="1" x14ac:dyDescent="0.5">
      <c r="B14" s="192" t="s">
        <v>141</v>
      </c>
      <c r="D14" s="168"/>
      <c r="H14" s="192" t="s">
        <v>285</v>
      </c>
      <c r="I14" s="183"/>
      <c r="J14" s="183"/>
      <c r="K14" s="183"/>
      <c r="L14" s="183"/>
      <c r="M14" s="192" t="s">
        <v>287</v>
      </c>
      <c r="R14" s="181" t="s">
        <v>225</v>
      </c>
      <c r="S14" s="56"/>
      <c r="W14" s="181" t="s">
        <v>226</v>
      </c>
      <c r="AB14" s="295" t="s">
        <v>225</v>
      </c>
      <c r="AG14" s="295" t="s">
        <v>226</v>
      </c>
      <c r="AH14" s="169"/>
      <c r="AI14" s="169"/>
      <c r="AJ14" s="169"/>
    </row>
    <row r="15" spans="1:36" s="122" customFormat="1" ht="18" customHeight="1" x14ac:dyDescent="0.5">
      <c r="B15" s="192"/>
      <c r="D15" s="168"/>
      <c r="H15" s="192"/>
      <c r="I15" s="183"/>
      <c r="J15" s="183"/>
      <c r="K15" s="183"/>
      <c r="L15" s="183"/>
      <c r="M15" s="192"/>
      <c r="R15" s="192"/>
      <c r="W15" s="192"/>
      <c r="AC15" s="193"/>
      <c r="AD15" s="193"/>
      <c r="AE15" s="193"/>
      <c r="AF15" s="193"/>
      <c r="AG15" s="193"/>
      <c r="AH15" s="193"/>
      <c r="AI15" s="193"/>
      <c r="AJ15" s="193"/>
    </row>
    <row r="16" spans="1:36" s="122" customFormat="1" ht="18" customHeight="1" x14ac:dyDescent="0.5">
      <c r="B16" s="210" t="s">
        <v>248</v>
      </c>
      <c r="C16" s="209" t="s">
        <v>1</v>
      </c>
      <c r="D16" s="253" t="s">
        <v>249</v>
      </c>
      <c r="E16" s="209" t="s">
        <v>250</v>
      </c>
      <c r="H16" s="210" t="s">
        <v>248</v>
      </c>
      <c r="I16" s="209" t="s">
        <v>1</v>
      </c>
      <c r="J16" s="253" t="s">
        <v>249</v>
      </c>
      <c r="K16" s="209" t="s">
        <v>250</v>
      </c>
      <c r="L16" s="183"/>
      <c r="M16" s="210" t="s">
        <v>248</v>
      </c>
      <c r="N16" s="209" t="s">
        <v>1</v>
      </c>
      <c r="O16" s="253" t="s">
        <v>249</v>
      </c>
      <c r="P16" s="209" t="s">
        <v>250</v>
      </c>
      <c r="R16" s="210" t="s">
        <v>248</v>
      </c>
      <c r="S16" s="209" t="s">
        <v>1</v>
      </c>
      <c r="T16" s="253" t="s">
        <v>249</v>
      </c>
      <c r="U16" s="209" t="s">
        <v>250</v>
      </c>
      <c r="W16" s="210" t="s">
        <v>248</v>
      </c>
      <c r="X16" s="209" t="s">
        <v>1</v>
      </c>
      <c r="Y16" s="253" t="s">
        <v>249</v>
      </c>
      <c r="Z16" s="209" t="s">
        <v>250</v>
      </c>
      <c r="AB16" s="210" t="s">
        <v>248</v>
      </c>
      <c r="AC16" s="209" t="s">
        <v>1</v>
      </c>
      <c r="AD16" s="253" t="s">
        <v>249</v>
      </c>
      <c r="AE16" s="209" t="s">
        <v>250</v>
      </c>
      <c r="AF16" s="193"/>
      <c r="AG16" s="210" t="s">
        <v>248</v>
      </c>
      <c r="AH16" s="209" t="s">
        <v>1</v>
      </c>
      <c r="AI16" s="253" t="s">
        <v>249</v>
      </c>
      <c r="AJ16" s="209" t="s">
        <v>250</v>
      </c>
    </row>
    <row r="17" spans="2:37" s="122" customFormat="1" ht="18" customHeight="1" x14ac:dyDescent="0.5">
      <c r="B17" s="184" t="str">
        <f>B7</f>
        <v>Olki</v>
      </c>
      <c r="C17" s="194">
        <f>D7</f>
        <v>0</v>
      </c>
      <c r="D17" s="165">
        <f>E7</f>
        <v>0</v>
      </c>
      <c r="E17" s="194">
        <f>C17*D17</f>
        <v>0</v>
      </c>
      <c r="H17" s="184" t="str">
        <f>B7</f>
        <v>Olki</v>
      </c>
      <c r="I17" s="194" t="e">
        <f ca="1">N7*(Lähtötiedot!$G$8+Lähtötiedot!$G$16)+O7*Lähtötiedot!$G$17+P7*(Lähtötiedot!$G$18+Lähtötiedot!$G$19)-C7</f>
        <v>#DIV/0!</v>
      </c>
      <c r="J17" s="165">
        <f>E7</f>
        <v>0</v>
      </c>
      <c r="K17" s="194" t="e">
        <f ca="1">I17*J17</f>
        <v>#DIV/0!</v>
      </c>
      <c r="L17" s="183"/>
      <c r="M17" s="184" t="str">
        <f>B7</f>
        <v>Olki</v>
      </c>
      <c r="N17" s="343" t="e">
        <f ca="1">N7*(Lähtötiedot!$K$8+Lähtötiedot!$K$16)+O7*Lähtötiedot!$K$17+P7*(Lähtötiedot!$K$18+Lähtötiedot!$K$19)-C7</f>
        <v>#DIV/0!</v>
      </c>
      <c r="O17" s="165">
        <f>E7</f>
        <v>0</v>
      </c>
      <c r="P17" s="194" t="e">
        <f ca="1">N17*O17</f>
        <v>#DIV/0!</v>
      </c>
      <c r="R17" s="184" t="str">
        <f>B7</f>
        <v>Olki</v>
      </c>
      <c r="S17" s="343" t="e">
        <f ca="1">N7*(Lähtötiedot!$O$8+Lähtötiedot!$O$16)+O7*Lähtötiedot!$O$17+P7*(Lähtötiedot!$O$18+Lähtötiedot!$O$19)-C7</f>
        <v>#DIV/0!</v>
      </c>
      <c r="T17" s="165">
        <f>E7</f>
        <v>0</v>
      </c>
      <c r="U17" s="194" t="e">
        <f ca="1">S17*T17</f>
        <v>#DIV/0!</v>
      </c>
      <c r="W17" s="184" t="str">
        <f>R17</f>
        <v>Olki</v>
      </c>
      <c r="X17" s="343" t="e">
        <f ca="1">N7*(Lähtötiedot!$S$8+Lähtötiedot!$S$16)+O7*Lähtötiedot!S17+P7*(Lähtötiedot!S18+Lähtötiedot!S19)-C7</f>
        <v>#DIV/0!</v>
      </c>
      <c r="Y17" s="165">
        <f>E7</f>
        <v>0</v>
      </c>
      <c r="Z17" s="194" t="e">
        <f ca="1">X17*Y17</f>
        <v>#DIV/0!</v>
      </c>
      <c r="AB17" s="184" t="str">
        <f>W17</f>
        <v>Olki</v>
      </c>
      <c r="AC17" s="343" t="e">
        <f ca="1">N7*(Lähtötiedot!$O$35+Lähtötiedot!$O$43)+O7*Lähtötiedot!$O$44+P7*(Lähtötiedot!$O$46+Lähtötiedot!$O$46)-C7</f>
        <v>#DIV/0!</v>
      </c>
      <c r="AD17" s="165">
        <f>T17</f>
        <v>0</v>
      </c>
      <c r="AE17" s="194" t="e">
        <f ca="1">AC17*AD17</f>
        <v>#DIV/0!</v>
      </c>
      <c r="AF17" s="193"/>
      <c r="AG17" s="184" t="str">
        <f>AB17</f>
        <v>Olki</v>
      </c>
      <c r="AH17" s="343" t="e">
        <f ca="1">N7*(Lähtötiedot!$S$35+Lähtötiedot!$S$43)+O7*Lähtötiedot!$S$44+P7*(Lähtötiedot!$S$46+Lähtötiedot!$S$46)-C7</f>
        <v>#DIV/0!</v>
      </c>
      <c r="AI17" s="165">
        <f>AD17</f>
        <v>0</v>
      </c>
      <c r="AJ17" s="194" t="e">
        <f ca="1">AH17*AI17</f>
        <v>#DIV/0!</v>
      </c>
    </row>
    <row r="18" spans="2:37" s="122" customFormat="1" ht="18" customHeight="1" x14ac:dyDescent="0.5">
      <c r="B18" s="184" t="str">
        <f>B8</f>
        <v>Turve</v>
      </c>
      <c r="C18" s="194">
        <f t="shared" ref="C18:C20" si="0">D8</f>
        <v>0</v>
      </c>
      <c r="D18" s="165">
        <f t="shared" ref="D18:D20" si="1">E8</f>
        <v>0</v>
      </c>
      <c r="E18" s="194">
        <f t="shared" ref="E18:E20" si="2">C18*D18</f>
        <v>0</v>
      </c>
      <c r="H18" s="184" t="str">
        <f t="shared" ref="H18:H20" si="3">B8</f>
        <v>Turve</v>
      </c>
      <c r="I18" s="343" t="e">
        <f ca="1">N8*(Lähtötiedot!$G$8+Lähtötiedot!$G$16)+O8*Lähtötiedot!$G$17+P8*(Lähtötiedot!$G$18+Lähtötiedot!$G$19)-C8</f>
        <v>#DIV/0!</v>
      </c>
      <c r="J18" s="165">
        <f t="shared" ref="J18:J20" si="4">E8</f>
        <v>0</v>
      </c>
      <c r="K18" s="194" t="e">
        <f t="shared" ref="K18:K20" ca="1" si="5">I18*J18</f>
        <v>#DIV/0!</v>
      </c>
      <c r="L18" s="183"/>
      <c r="M18" s="184" t="str">
        <f t="shared" ref="M18:M20" si="6">B8</f>
        <v>Turve</v>
      </c>
      <c r="N18" s="343" t="e">
        <f ca="1">N8*(Lähtötiedot!$K$8+Lähtötiedot!$K$16)+O8*Lähtötiedot!$K$17+P8*(Lähtötiedot!$K$18+Lähtötiedot!$K$19)-C8</f>
        <v>#DIV/0!</v>
      </c>
      <c r="O18" s="165">
        <f t="shared" ref="O18:O20" si="7">E8</f>
        <v>0</v>
      </c>
      <c r="P18" s="194" t="e">
        <f t="shared" ref="P18:P20" ca="1" si="8">N18*O18</f>
        <v>#DIV/0!</v>
      </c>
      <c r="R18" s="184" t="str">
        <f t="shared" ref="R18:R20" si="9">B8</f>
        <v>Turve</v>
      </c>
      <c r="S18" s="343" t="e">
        <f ca="1">N8*(Lähtötiedot!$O$8+Lähtötiedot!$O$16)+O8*Lähtötiedot!$O$17+P8*(Lähtötiedot!$O$18+Lähtötiedot!$O$19)-C8</f>
        <v>#DIV/0!</v>
      </c>
      <c r="T18" s="165">
        <f t="shared" ref="T18:T20" si="10">E8</f>
        <v>0</v>
      </c>
      <c r="U18" s="194" t="e">
        <f t="shared" ref="U18:U20" ca="1" si="11">S18*T18</f>
        <v>#DIV/0!</v>
      </c>
      <c r="W18" s="184" t="str">
        <f t="shared" ref="W18:W20" si="12">R18</f>
        <v>Turve</v>
      </c>
      <c r="X18" s="343" t="e">
        <f ca="1">N8*(Lähtötiedot!$S$8+Lähtötiedot!$S$16)+O28*(Lähtötiedot!$S$16+Lähtötiedot!$S$17+Lähtötiedot!$S$18+Lähtötiedot!$S$19)</f>
        <v>#DIV/0!</v>
      </c>
      <c r="Y18" s="165">
        <f t="shared" ref="Y18:Y20" si="13">E8</f>
        <v>0</v>
      </c>
      <c r="Z18" s="194" t="e">
        <f t="shared" ref="Z18:Z20" ca="1" si="14">X18*Y18</f>
        <v>#DIV/0!</v>
      </c>
      <c r="AB18" s="184" t="str">
        <f>W18</f>
        <v>Turve</v>
      </c>
      <c r="AC18" s="343" t="e">
        <f ca="1">N8*(Lähtötiedot!$O$35+Lähtötiedot!$O$43)+O8*Lähtötiedot!$O$44+P8*(Lähtötiedot!$O$46+Lähtötiedot!$O$46)-C8</f>
        <v>#DIV/0!</v>
      </c>
      <c r="AD18" s="165">
        <f>T18</f>
        <v>0</v>
      </c>
      <c r="AE18" s="194" t="e">
        <f t="shared" ref="AE18:AE20" ca="1" si="15">AC18*AD18</f>
        <v>#DIV/0!</v>
      </c>
      <c r="AF18" s="193"/>
      <c r="AG18" s="184" t="str">
        <f t="shared" ref="AG18:AG20" si="16">AB18</f>
        <v>Turve</v>
      </c>
      <c r="AH18" s="343" t="e">
        <f ca="1">N8*(Lähtötiedot!$S$35+Lähtötiedot!$S$43)+O8*Lähtötiedot!$S$44+P8*(Lähtötiedot!$S$46+Lähtötiedot!$S$46)-C8</f>
        <v>#DIV/0!</v>
      </c>
      <c r="AI18" s="165">
        <f t="shared" ref="AI18:AI20" si="17">AD18</f>
        <v>0</v>
      </c>
      <c r="AJ18" s="194" t="e">
        <f t="shared" ref="AJ18:AJ20" ca="1" si="18">AH18*AI18</f>
        <v>#DIV/0!</v>
      </c>
    </row>
    <row r="19" spans="2:37" s="122" customFormat="1" ht="18" customHeight="1" x14ac:dyDescent="0.5">
      <c r="B19" s="184">
        <f>B9</f>
        <v>0</v>
      </c>
      <c r="C19" s="194">
        <f t="shared" si="0"/>
        <v>0</v>
      </c>
      <c r="D19" s="165">
        <f t="shared" si="1"/>
        <v>0</v>
      </c>
      <c r="E19" s="194">
        <f t="shared" si="2"/>
        <v>0</v>
      </c>
      <c r="H19" s="184">
        <f t="shared" si="3"/>
        <v>0</v>
      </c>
      <c r="I19" s="343" t="e">
        <f ca="1">N9*(Lähtötiedot!$G$8+Lähtötiedot!$G$16)+O9*Lähtötiedot!$G$17+P9*(Lähtötiedot!$G$18+Lähtötiedot!$G$19)-C9</f>
        <v>#DIV/0!</v>
      </c>
      <c r="J19" s="165">
        <f t="shared" si="4"/>
        <v>0</v>
      </c>
      <c r="K19" s="194" t="e">
        <f t="shared" ca="1" si="5"/>
        <v>#DIV/0!</v>
      </c>
      <c r="L19" s="183"/>
      <c r="M19" s="184">
        <f t="shared" si="6"/>
        <v>0</v>
      </c>
      <c r="N19" s="343" t="e">
        <f ca="1">N9*(Lähtötiedot!$K$8+Lähtötiedot!$K$16)+O9*Lähtötiedot!$K$17+P9*(Lähtötiedot!$K$18+Lähtötiedot!$K$19)-C9</f>
        <v>#DIV/0!</v>
      </c>
      <c r="O19" s="165">
        <f t="shared" si="7"/>
        <v>0</v>
      </c>
      <c r="P19" s="194" t="e">
        <f t="shared" ca="1" si="8"/>
        <v>#DIV/0!</v>
      </c>
      <c r="R19" s="184">
        <f t="shared" si="9"/>
        <v>0</v>
      </c>
      <c r="S19" s="343" t="e">
        <f ca="1">N9*(Lähtötiedot!$O$8+Lähtötiedot!$O$16)+O9*Lähtötiedot!$O$17+P9*(Lähtötiedot!$O$18+Lähtötiedot!$O$19)-C9</f>
        <v>#DIV/0!</v>
      </c>
      <c r="T19" s="165">
        <f t="shared" si="10"/>
        <v>0</v>
      </c>
      <c r="U19" s="194" t="e">
        <f t="shared" ca="1" si="11"/>
        <v>#DIV/0!</v>
      </c>
      <c r="W19" s="184">
        <f t="shared" si="12"/>
        <v>0</v>
      </c>
      <c r="X19" s="343" t="e">
        <f ca="1">N9*(Lähtötiedot!$S$8+Lähtötiedot!$S$16)+O29*(Lähtötiedot!$S$16+Lähtötiedot!$S$17+Lähtötiedot!$S$18+Lähtötiedot!$S$19)</f>
        <v>#DIV/0!</v>
      </c>
      <c r="Y19" s="165">
        <f t="shared" si="13"/>
        <v>0</v>
      </c>
      <c r="Z19" s="194" t="e">
        <f t="shared" ca="1" si="14"/>
        <v>#DIV/0!</v>
      </c>
      <c r="AB19" s="184">
        <f>W19</f>
        <v>0</v>
      </c>
      <c r="AC19" s="343" t="e">
        <f ca="1">N9*(Lähtötiedot!$O$35+Lähtötiedot!$O$43)+O9*Lähtötiedot!$O$44+P9*(Lähtötiedot!$O$46+Lähtötiedot!$O$46)-C9</f>
        <v>#DIV/0!</v>
      </c>
      <c r="AD19" s="165">
        <f>T19</f>
        <v>0</v>
      </c>
      <c r="AE19" s="194" t="e">
        <f t="shared" ca="1" si="15"/>
        <v>#DIV/0!</v>
      </c>
      <c r="AF19" s="193"/>
      <c r="AG19" s="184">
        <f t="shared" si="16"/>
        <v>0</v>
      </c>
      <c r="AH19" s="343" t="e">
        <f ca="1">N9*(Lähtötiedot!$S$35+Lähtötiedot!$S$43)+O9*Lähtötiedot!$S$44+P9*(Lähtötiedot!$S$46+Lähtötiedot!$S$46)-C9</f>
        <v>#DIV/0!</v>
      </c>
      <c r="AI19" s="165">
        <f t="shared" si="17"/>
        <v>0</v>
      </c>
      <c r="AJ19" s="194" t="e">
        <f t="shared" ca="1" si="18"/>
        <v>#DIV/0!</v>
      </c>
    </row>
    <row r="20" spans="2:37" s="122" customFormat="1" ht="18" customHeight="1" x14ac:dyDescent="0.5">
      <c r="B20" s="184">
        <f>B10</f>
        <v>0</v>
      </c>
      <c r="C20" s="194">
        <f t="shared" si="0"/>
        <v>0</v>
      </c>
      <c r="D20" s="165">
        <f t="shared" si="1"/>
        <v>0</v>
      </c>
      <c r="E20" s="194">
        <f t="shared" si="2"/>
        <v>0</v>
      </c>
      <c r="H20" s="184">
        <f t="shared" si="3"/>
        <v>0</v>
      </c>
      <c r="I20" s="343" t="e">
        <f ca="1">N10*(Lähtötiedot!$G$8+Lähtötiedot!$G$16)+O10*Lähtötiedot!$G$17+P10*(Lähtötiedot!$G$18+Lähtötiedot!$G$19)-C10</f>
        <v>#DIV/0!</v>
      </c>
      <c r="J20" s="165">
        <f t="shared" si="4"/>
        <v>0</v>
      </c>
      <c r="K20" s="194" t="e">
        <f t="shared" ca="1" si="5"/>
        <v>#DIV/0!</v>
      </c>
      <c r="L20" s="183"/>
      <c r="M20" s="184">
        <f t="shared" si="6"/>
        <v>0</v>
      </c>
      <c r="N20" s="343" t="e">
        <f ca="1">N10*(Lähtötiedot!$K$8+Lähtötiedot!$K$16)+O10*Lähtötiedot!$K$17+P10*(Lähtötiedot!$K$18+Lähtötiedot!$K$19)-C10</f>
        <v>#DIV/0!</v>
      </c>
      <c r="O20" s="165">
        <f t="shared" si="7"/>
        <v>0</v>
      </c>
      <c r="P20" s="194" t="e">
        <f t="shared" ca="1" si="8"/>
        <v>#DIV/0!</v>
      </c>
      <c r="R20" s="184">
        <f t="shared" si="9"/>
        <v>0</v>
      </c>
      <c r="S20" s="343" t="e">
        <f ca="1">N10*(Lähtötiedot!$O$8+Lähtötiedot!$O$16)+O10*Lähtötiedot!$O$17+P10*(Lähtötiedot!$O$18+Lähtötiedot!$O$19)-C10</f>
        <v>#DIV/0!</v>
      </c>
      <c r="T20" s="165">
        <f t="shared" si="10"/>
        <v>0</v>
      </c>
      <c r="U20" s="194" t="e">
        <f t="shared" ca="1" si="11"/>
        <v>#DIV/0!</v>
      </c>
      <c r="W20" s="184">
        <f t="shared" si="12"/>
        <v>0</v>
      </c>
      <c r="X20" s="343" t="e">
        <f ca="1">N10*(Lähtötiedot!$S$8+Lähtötiedot!$S$16)+O30*(Lähtötiedot!$S$16+Lähtötiedot!$S$17+Lähtötiedot!$S$18+Lähtötiedot!$S$19)</f>
        <v>#DIV/0!</v>
      </c>
      <c r="Y20" s="165">
        <f t="shared" si="13"/>
        <v>0</v>
      </c>
      <c r="Z20" s="194" t="e">
        <f t="shared" ca="1" si="14"/>
        <v>#DIV/0!</v>
      </c>
      <c r="AB20" s="184">
        <f>W20</f>
        <v>0</v>
      </c>
      <c r="AC20" s="343" t="e">
        <f ca="1">N10*(Lähtötiedot!$O$35+Lähtötiedot!$O$43)+O10*Lähtötiedot!$O$44+P10*(Lähtötiedot!$O$46+Lähtötiedot!$O$46)-C10</f>
        <v>#DIV/0!</v>
      </c>
      <c r="AD20" s="165">
        <f>T20</f>
        <v>0</v>
      </c>
      <c r="AE20" s="194" t="e">
        <f t="shared" ca="1" si="15"/>
        <v>#DIV/0!</v>
      </c>
      <c r="AF20" s="193"/>
      <c r="AG20" s="184">
        <f t="shared" si="16"/>
        <v>0</v>
      </c>
      <c r="AH20" s="343" t="e">
        <f ca="1">N10*(Lähtötiedot!$S$35+Lähtötiedot!$S$43)+O10*Lähtötiedot!$S$44+P10*(Lähtötiedot!$S$46+Lähtötiedot!$S$46)-C10</f>
        <v>#DIV/0!</v>
      </c>
      <c r="AI20" s="165">
        <f t="shared" si="17"/>
        <v>0</v>
      </c>
      <c r="AJ20" s="194" t="e">
        <f t="shared" ca="1" si="18"/>
        <v>#DIV/0!</v>
      </c>
    </row>
    <row r="21" spans="2:37" s="122" customFormat="1" ht="29.25" customHeight="1" x14ac:dyDescent="0.5">
      <c r="D21" s="122" t="s">
        <v>85</v>
      </c>
      <c r="E21" s="195">
        <f>SUM(E17:E20)</f>
        <v>0</v>
      </c>
      <c r="J21" s="122" t="s">
        <v>85</v>
      </c>
      <c r="K21" s="195" t="e">
        <f ca="1">SUM(K17:K20)</f>
        <v>#DIV/0!</v>
      </c>
      <c r="O21" s="122" t="s">
        <v>85</v>
      </c>
      <c r="P21" s="195" t="e">
        <f ca="1">SUM(P17:P20)</f>
        <v>#DIV/0!</v>
      </c>
      <c r="T21" s="122" t="s">
        <v>85</v>
      </c>
      <c r="U21" s="195" t="e">
        <f ca="1">SUM(U17:U20)</f>
        <v>#DIV/0!</v>
      </c>
      <c r="Y21" s="122" t="s">
        <v>85</v>
      </c>
      <c r="Z21" s="195" t="e">
        <f ca="1">SUM(Z17:Z20)</f>
        <v>#DIV/0!</v>
      </c>
      <c r="AD21" s="122" t="s">
        <v>85</v>
      </c>
      <c r="AE21" s="195" t="e">
        <f ca="1">SUM(AE17:AE20)</f>
        <v>#DIV/0!</v>
      </c>
      <c r="AF21" s="198"/>
      <c r="AI21" s="122" t="s">
        <v>85</v>
      </c>
      <c r="AJ21" s="195" t="e">
        <f ca="1">SUM(AJ17:AJ20)</f>
        <v>#DIV/0!</v>
      </c>
    </row>
    <row r="22" spans="2:37" s="122" customFormat="1" ht="15" customHeight="1" x14ac:dyDescent="0.25"/>
    <row r="23" spans="2:37" s="122" customFormat="1" ht="15" customHeight="1" x14ac:dyDescent="0.25"/>
    <row r="24" spans="2:37" x14ac:dyDescent="0.25">
      <c r="B24" s="122"/>
      <c r="C24" s="122"/>
      <c r="D24" s="122"/>
      <c r="E24" s="122"/>
      <c r="F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row>
    <row r="25" spans="2:37" x14ac:dyDescent="0.25">
      <c r="B25" s="122"/>
      <c r="C25" s="122"/>
      <c r="D25" s="122"/>
      <c r="E25" s="122"/>
      <c r="F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row>
    <row r="26" spans="2:37" x14ac:dyDescent="0.25">
      <c r="B26" s="122"/>
      <c r="C26" s="122"/>
      <c r="D26" s="122"/>
      <c r="E26" s="122"/>
      <c r="F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2:37" x14ac:dyDescent="0.25">
      <c r="B27" s="122"/>
      <c r="C27" s="122"/>
      <c r="D27" s="122"/>
      <c r="E27" s="122"/>
      <c r="F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row r="28" spans="2:37" x14ac:dyDescent="0.25">
      <c r="B28" s="122"/>
      <c r="C28" s="122"/>
      <c r="D28" s="122"/>
      <c r="E28" s="122"/>
      <c r="F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row>
    <row r="29" spans="2:37" x14ac:dyDescent="0.25">
      <c r="B29" s="122"/>
      <c r="C29" s="122"/>
      <c r="D29" s="122"/>
      <c r="E29" s="122"/>
      <c r="F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row>
    <row r="30" spans="2:37" x14ac:dyDescent="0.25">
      <c r="B30" s="122"/>
      <c r="C30" s="122"/>
      <c r="D30" s="122"/>
      <c r="E30" s="122"/>
      <c r="F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row>
    <row r="31" spans="2:37" ht="15" customHeight="1" x14ac:dyDescent="0.25">
      <c r="B31" s="122"/>
      <c r="C31" s="122"/>
      <c r="D31" s="122"/>
      <c r="E31" s="122"/>
      <c r="F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row>
    <row r="32" spans="2:37" ht="15" customHeight="1" x14ac:dyDescent="0.25">
      <c r="B32" s="122"/>
      <c r="C32" s="122"/>
      <c r="D32" s="122"/>
      <c r="E32" s="122"/>
      <c r="F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row>
    <row r="33" spans="2:37" x14ac:dyDescent="0.25">
      <c r="B33" s="122"/>
      <c r="C33" s="122"/>
      <c r="D33" s="122"/>
      <c r="E33" s="122"/>
      <c r="F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row>
    <row r="34" spans="2:37" x14ac:dyDescent="0.25">
      <c r="B34" s="122"/>
      <c r="C34" s="122"/>
      <c r="D34" s="122"/>
      <c r="E34" s="122"/>
      <c r="F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row>
    <row r="35" spans="2:37" x14ac:dyDescent="0.25">
      <c r="B35" s="122"/>
      <c r="C35" s="122"/>
      <c r="D35" s="122"/>
      <c r="E35" s="122"/>
      <c r="F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row>
    <row r="36" spans="2:37" x14ac:dyDescent="0.25">
      <c r="B36" s="122"/>
      <c r="C36" s="122"/>
      <c r="D36" s="122"/>
      <c r="E36" s="122"/>
      <c r="F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2:37" x14ac:dyDescent="0.25">
      <c r="B37" s="122"/>
      <c r="C37" s="122"/>
      <c r="D37" s="122"/>
      <c r="E37" s="122"/>
      <c r="F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2:37" x14ac:dyDescent="0.25">
      <c r="B38" s="122"/>
      <c r="C38" s="122"/>
      <c r="D38" s="122"/>
      <c r="E38" s="122"/>
      <c r="F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2:37" x14ac:dyDescent="0.25">
      <c r="B39" s="122"/>
      <c r="C39" s="122"/>
      <c r="D39" s="122"/>
      <c r="E39" s="122"/>
      <c r="F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row>
    <row r="40" spans="2:37" x14ac:dyDescent="0.25">
      <c r="B40" s="122"/>
      <c r="C40" s="122"/>
      <c r="D40" s="122"/>
      <c r="E40" s="122"/>
      <c r="F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row>
    <row r="41" spans="2:37" x14ac:dyDescent="0.25">
      <c r="B41" s="122"/>
      <c r="C41" s="122"/>
      <c r="D41" s="122"/>
      <c r="E41" s="122"/>
      <c r="F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row>
    <row r="42" spans="2:37" x14ac:dyDescent="0.25">
      <c r="B42" s="122"/>
      <c r="C42" s="122"/>
      <c r="D42" s="122"/>
      <c r="E42" s="122"/>
      <c r="F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row>
    <row r="43" spans="2:37" x14ac:dyDescent="0.25">
      <c r="B43" s="122"/>
      <c r="C43" s="122"/>
      <c r="D43" s="122"/>
      <c r="E43" s="122"/>
      <c r="F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row>
    <row r="44" spans="2:37" ht="18" customHeight="1" x14ac:dyDescent="0.25">
      <c r="B44" s="122"/>
      <c r="C44" s="122"/>
      <c r="D44" s="122"/>
      <c r="E44" s="122"/>
      <c r="F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row>
    <row r="45" spans="2:37" x14ac:dyDescent="0.25">
      <c r="B45" s="122"/>
      <c r="C45" s="122"/>
      <c r="D45" s="122"/>
      <c r="E45" s="122"/>
      <c r="F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row>
    <row r="46" spans="2:37" x14ac:dyDescent="0.25">
      <c r="B46" s="122"/>
      <c r="C46" s="122"/>
      <c r="D46" s="122"/>
      <c r="E46" s="122"/>
      <c r="F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row>
    <row r="47" spans="2:37" x14ac:dyDescent="0.25">
      <c r="B47" s="122"/>
      <c r="C47" s="122"/>
      <c r="D47" s="122"/>
      <c r="E47" s="122"/>
      <c r="F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row>
    <row r="48" spans="2:37" x14ac:dyDescent="0.25">
      <c r="B48" s="122"/>
      <c r="C48" s="122"/>
      <c r="D48" s="122"/>
      <c r="E48" s="122"/>
      <c r="F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row>
    <row r="49" spans="2:37" x14ac:dyDescent="0.25">
      <c r="B49" s="122"/>
      <c r="C49" s="122"/>
      <c r="D49" s="122"/>
      <c r="E49" s="122"/>
      <c r="F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row>
    <row r="50" spans="2:37" x14ac:dyDescent="0.25">
      <c r="B50" s="122"/>
      <c r="C50" s="122"/>
      <c r="D50" s="122"/>
      <c r="E50" s="122"/>
      <c r="F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row>
    <row r="51" spans="2:37" x14ac:dyDescent="0.25">
      <c r="B51" s="122"/>
      <c r="C51" s="122"/>
      <c r="D51" s="122"/>
      <c r="E51" s="122"/>
      <c r="F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row>
    <row r="52" spans="2:37" x14ac:dyDescent="0.25">
      <c r="B52" s="122"/>
      <c r="C52" s="122"/>
      <c r="D52" s="122"/>
      <c r="E52" s="122"/>
      <c r="F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row>
    <row r="53" spans="2:37" x14ac:dyDescent="0.25">
      <c r="B53" s="122"/>
      <c r="C53" s="122"/>
      <c r="D53" s="122"/>
      <c r="E53" s="122"/>
      <c r="F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row>
    <row r="54" spans="2:37" x14ac:dyDescent="0.25">
      <c r="B54" s="122"/>
      <c r="C54" s="122"/>
      <c r="D54" s="122"/>
      <c r="E54" s="122"/>
      <c r="F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row>
    <row r="55" spans="2:37" x14ac:dyDescent="0.25">
      <c r="B55" s="122"/>
      <c r="C55" s="122"/>
      <c r="D55" s="122"/>
      <c r="E55" s="122"/>
      <c r="F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row>
    <row r="56" spans="2:37" x14ac:dyDescent="0.25">
      <c r="B56" s="122"/>
      <c r="C56" s="122"/>
      <c r="D56" s="122"/>
      <c r="E56" s="122"/>
      <c r="F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row>
    <row r="57" spans="2:37" x14ac:dyDescent="0.25">
      <c r="B57" s="122"/>
      <c r="C57" s="122"/>
      <c r="D57" s="122"/>
      <c r="E57" s="122"/>
      <c r="F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row>
    <row r="58" spans="2:37" x14ac:dyDescent="0.25">
      <c r="B58" s="122"/>
      <c r="C58" s="122"/>
      <c r="D58" s="122"/>
      <c r="E58" s="122"/>
      <c r="F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row>
    <row r="59" spans="2:37" x14ac:dyDescent="0.25">
      <c r="B59" s="122"/>
      <c r="C59" s="122"/>
      <c r="D59" s="122"/>
      <c r="E59" s="122"/>
      <c r="F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row>
    <row r="60" spans="2:37" x14ac:dyDescent="0.25">
      <c r="B60" s="122"/>
      <c r="C60" s="122"/>
      <c r="D60" s="122"/>
      <c r="E60" s="122"/>
      <c r="F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row>
    <row r="61" spans="2:37" x14ac:dyDescent="0.25">
      <c r="B61" s="122"/>
      <c r="C61" s="122"/>
      <c r="D61" s="122"/>
      <c r="E61" s="122"/>
      <c r="F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row>
    <row r="62" spans="2:37" x14ac:dyDescent="0.25">
      <c r="B62" s="122"/>
      <c r="C62" s="122"/>
      <c r="D62" s="122"/>
      <c r="E62" s="122"/>
      <c r="F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row>
    <row r="63" spans="2:37" x14ac:dyDescent="0.25">
      <c r="B63" s="122"/>
      <c r="C63" s="122"/>
      <c r="D63" s="122"/>
      <c r="E63" s="122"/>
      <c r="F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row>
    <row r="64" spans="2:37" x14ac:dyDescent="0.25">
      <c r="B64" s="122"/>
      <c r="C64" s="122"/>
      <c r="D64" s="122"/>
      <c r="E64" s="122"/>
      <c r="F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row>
    <row r="65" spans="2:37" x14ac:dyDescent="0.25">
      <c r="B65" s="122"/>
      <c r="C65" s="122"/>
      <c r="D65" s="122"/>
      <c r="E65" s="122"/>
      <c r="F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row>
    <row r="66" spans="2:37" x14ac:dyDescent="0.25">
      <c r="B66" s="122"/>
      <c r="C66" s="122"/>
      <c r="D66" s="122"/>
      <c r="E66" s="122"/>
      <c r="F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row>
    <row r="67" spans="2:37" x14ac:dyDescent="0.25">
      <c r="B67" s="122"/>
      <c r="C67" s="122"/>
      <c r="D67" s="122"/>
      <c r="E67" s="122"/>
      <c r="F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row>
    <row r="68" spans="2:37" x14ac:dyDescent="0.25">
      <c r="B68" s="122"/>
      <c r="C68" s="122"/>
      <c r="D68" s="122"/>
      <c r="E68" s="122"/>
      <c r="F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row>
    <row r="69" spans="2:37" x14ac:dyDescent="0.25">
      <c r="B69" s="122"/>
      <c r="C69" s="122"/>
      <c r="D69" s="122"/>
      <c r="E69" s="122"/>
      <c r="F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row>
    <row r="70" spans="2:37" x14ac:dyDescent="0.25">
      <c r="B70" s="122"/>
      <c r="C70" s="122"/>
      <c r="D70" s="122"/>
      <c r="E70" s="122"/>
      <c r="F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row>
    <row r="71" spans="2:37" x14ac:dyDescent="0.25">
      <c r="B71" s="122"/>
      <c r="C71" s="122"/>
      <c r="D71" s="122"/>
      <c r="E71" s="122"/>
      <c r="F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row>
    <row r="72" spans="2:37" x14ac:dyDescent="0.25">
      <c r="B72" s="122"/>
      <c r="C72" s="122"/>
      <c r="D72" s="122"/>
      <c r="E72" s="122"/>
      <c r="F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row>
  </sheetData>
  <sheetProtection algorithmName="SHA-512" hashValue="pWSq+QwGZs/0HYhSPLmqkXw/sdNd4OvWn1FZPbN535gCgOBLsXLgrUqoUrtwfu1f1LRzdgcdlugouV6VzC9iMA==" saltValue="NM5cKKsfSJLO68mAQJCOgw==" spinCount="100000" sheet="1" objects="1" scenarios="1"/>
  <mergeCells count="1">
    <mergeCell ref="B2:E3"/>
  </mergeCells>
  <pageMargins left="0.7" right="0.7" top="0.75" bottom="0.75" header="0.3" footer="0.3"/>
  <pageSetup paperSize="9" orientation="portrait" horizont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0"/>
  <sheetViews>
    <sheetView topLeftCell="A10" workbookViewId="0">
      <selection activeCell="H15" sqref="H15"/>
    </sheetView>
  </sheetViews>
  <sheetFormatPr defaultRowHeight="15" x14ac:dyDescent="0.25"/>
  <cols>
    <col min="1" max="1" width="9.42578125" style="9" customWidth="1"/>
    <col min="2" max="2" width="24.140625" style="9" customWidth="1"/>
    <col min="3" max="3" width="9.5703125" style="9" bestFit="1" customWidth="1"/>
    <col min="4" max="4" width="10.28515625" style="9" customWidth="1"/>
    <col min="5" max="6" width="9.140625" style="9"/>
    <col min="7" max="7" width="9" style="9" customWidth="1"/>
    <col min="8" max="8" width="16.140625" style="9" customWidth="1"/>
    <col min="9" max="9" width="10.28515625" style="9" customWidth="1"/>
    <col min="10" max="10" width="9.140625" style="9"/>
    <col min="11" max="11" width="10.140625" style="9" customWidth="1"/>
    <col min="12" max="12" width="9.140625" style="9"/>
    <col min="13" max="13" width="15.85546875" style="9" customWidth="1"/>
    <col min="14" max="14" width="9.140625" style="9" customWidth="1"/>
    <col min="15" max="15" width="9" style="9" customWidth="1"/>
    <col min="16" max="16" width="9.85546875" style="9" customWidth="1"/>
    <col min="17" max="17" width="11" style="9" customWidth="1"/>
    <col min="18" max="18" width="9.42578125" style="9" customWidth="1"/>
    <col min="19" max="19" width="9.140625" style="9"/>
    <col min="20" max="20" width="16.42578125" style="9" customWidth="1"/>
    <col min="21" max="21" width="9.140625" style="9"/>
    <col min="22" max="22" width="9.5703125" style="9" customWidth="1"/>
    <col min="23" max="23" width="9.28515625" style="9" customWidth="1"/>
    <col min="24" max="24" width="9.85546875" style="9" customWidth="1"/>
    <col min="25" max="25" width="9.42578125" style="9" customWidth="1"/>
    <col min="26" max="26" width="15.5703125" style="9" customWidth="1"/>
    <col min="27" max="30" width="9.140625" style="9"/>
    <col min="31" max="31" width="15.28515625" style="9" customWidth="1"/>
    <col min="32" max="36" width="9.140625" style="9"/>
    <col min="37" max="37" width="17.140625" style="9" customWidth="1"/>
    <col min="38" max="16384" width="9.140625" style="9"/>
  </cols>
  <sheetData>
    <row r="1" spans="1:16" ht="15.75" x14ac:dyDescent="0.25">
      <c r="A1" s="448" t="s">
        <v>267</v>
      </c>
      <c r="B1" s="405"/>
    </row>
    <row r="3" spans="1:16" x14ac:dyDescent="0.25">
      <c r="B3" s="405" t="s">
        <v>212</v>
      </c>
    </row>
    <row r="4" spans="1:16" x14ac:dyDescent="0.25">
      <c r="B4" s="449"/>
      <c r="C4" s="450" t="s">
        <v>1</v>
      </c>
      <c r="D4" s="450" t="s">
        <v>210</v>
      </c>
      <c r="E4" s="451" t="s">
        <v>211</v>
      </c>
    </row>
    <row r="5" spans="1:16" x14ac:dyDescent="0.25">
      <c r="B5" s="449" t="s">
        <v>206</v>
      </c>
      <c r="C5" s="452" t="e">
        <f>Lähtötiedot!C24/Lähtötiedot!C8</f>
        <v>#DIV/0!</v>
      </c>
      <c r="D5" s="408">
        <v>300</v>
      </c>
      <c r="E5" s="410" t="e">
        <f>C5*D5</f>
        <v>#DIV/0!</v>
      </c>
    </row>
    <row r="6" spans="1:16" x14ac:dyDescent="0.25">
      <c r="B6" s="449" t="s">
        <v>207</v>
      </c>
      <c r="C6" s="452" t="e">
        <f>1/Lähtötiedot!C23</f>
        <v>#DIV/0!</v>
      </c>
      <c r="D6" s="408">
        <v>150</v>
      </c>
      <c r="E6" s="410" t="e">
        <f>C6*D6</f>
        <v>#DIV/0!</v>
      </c>
    </row>
    <row r="7" spans="1:16" x14ac:dyDescent="0.25">
      <c r="B7" s="449" t="s">
        <v>196</v>
      </c>
      <c r="C7" s="408">
        <v>300</v>
      </c>
      <c r="D7" s="413">
        <v>0.05</v>
      </c>
      <c r="E7" s="410">
        <f>C7*D7</f>
        <v>15</v>
      </c>
    </row>
    <row r="8" spans="1:16" x14ac:dyDescent="0.25">
      <c r="B8" s="453" t="s">
        <v>85</v>
      </c>
      <c r="E8" s="410" t="e">
        <f>SUM(E5:E7)</f>
        <v>#DIV/0!</v>
      </c>
    </row>
    <row r="10" spans="1:16" x14ac:dyDescent="0.25">
      <c r="B10" s="449"/>
      <c r="C10" s="450" t="s">
        <v>1</v>
      </c>
      <c r="D10" s="450" t="s">
        <v>205</v>
      </c>
      <c r="E10" s="451" t="s">
        <v>85</v>
      </c>
    </row>
    <row r="11" spans="1:16" x14ac:dyDescent="0.25">
      <c r="B11" s="449" t="s">
        <v>213</v>
      </c>
      <c r="C11" s="452">
        <f>Lähtötiedot!C16</f>
        <v>0</v>
      </c>
      <c r="D11" s="408" t="e">
        <f>E8</f>
        <v>#DIV/0!</v>
      </c>
      <c r="E11" s="410" t="e">
        <f>C11*D11</f>
        <v>#DIV/0!</v>
      </c>
    </row>
    <row r="12" spans="1:16" x14ac:dyDescent="0.25">
      <c r="J12" s="454"/>
    </row>
    <row r="14" spans="1:16" x14ac:dyDescent="0.25">
      <c r="J14" s="405" t="s">
        <v>222</v>
      </c>
      <c r="N14" s="405" t="s">
        <v>223</v>
      </c>
    </row>
    <row r="15" spans="1:16" x14ac:dyDescent="0.25">
      <c r="B15" s="405" t="s">
        <v>214</v>
      </c>
      <c r="E15" s="455" t="s">
        <v>0</v>
      </c>
      <c r="F15" s="455" t="s">
        <v>291</v>
      </c>
      <c r="G15" s="455" t="s">
        <v>221</v>
      </c>
      <c r="J15" s="455" t="s">
        <v>25</v>
      </c>
      <c r="K15" s="455" t="s">
        <v>291</v>
      </c>
      <c r="N15" s="455" t="s">
        <v>25</v>
      </c>
      <c r="O15" s="455" t="s">
        <v>301</v>
      </c>
      <c r="P15" s="455" t="s">
        <v>302</v>
      </c>
    </row>
    <row r="16" spans="1:16" x14ac:dyDescent="0.25">
      <c r="B16" s="449"/>
      <c r="C16" s="451" t="s">
        <v>211</v>
      </c>
      <c r="E16" s="456"/>
      <c r="F16" s="456"/>
      <c r="G16" s="456"/>
      <c r="J16" s="456"/>
      <c r="K16" s="456"/>
      <c r="N16" s="456"/>
      <c r="O16" s="456"/>
    </row>
    <row r="17" spans="2:37" x14ac:dyDescent="0.25">
      <c r="B17" s="449" t="s">
        <v>215</v>
      </c>
      <c r="C17" s="427"/>
      <c r="E17" s="254"/>
      <c r="F17" s="254"/>
      <c r="G17" s="457">
        <f t="shared" ref="G17:G27" si="0">SUM(E17:F17)</f>
        <v>0</v>
      </c>
      <c r="J17" s="458">
        <f>$C$17*E17</f>
        <v>0</v>
      </c>
      <c r="K17" s="458">
        <f>$C$17*F17</f>
        <v>0</v>
      </c>
      <c r="N17" s="459" t="e">
        <f>J17/(Lähtötiedot!$C$8+Lähtötiedot!$C$16)</f>
        <v>#DIV/0!</v>
      </c>
      <c r="O17" s="459" t="e">
        <f>K17*(Lähtötiedot!$C$17*Ruokinta!$F$37)/(Lähtötiedot!$C$17*Ruokinta!$F$37+Ruokinta!$F$53*(Lähtötiedot!$C$18+Lähtötiedot!$C$19))/Lähtötiedot!$C$17</f>
        <v>#DIV/0!</v>
      </c>
      <c r="P17" s="459">
        <f>IF(Lähtötiedot!$C$18+Lähtötiedot!$C$19=0,0,K17*(Ruokinta!$F$53*(Lähtötiedot!$C$18+Lähtötiedot!$C$19)/(Lähtötiedot!$C$17*Ruokinta!$F$37+Ruokinta!$F$53*(Lähtötiedot!$C$18+Lähtötiedot!$C$19)))/(Lähtötiedot!$C$18+Lähtötiedot!$C$19))</f>
        <v>0</v>
      </c>
    </row>
    <row r="18" spans="2:37" x14ac:dyDescent="0.25">
      <c r="B18" s="449" t="s">
        <v>216</v>
      </c>
      <c r="C18" s="427"/>
      <c r="E18" s="254"/>
      <c r="F18" s="254"/>
      <c r="G18" s="457">
        <f t="shared" si="0"/>
        <v>0</v>
      </c>
      <c r="J18" s="458">
        <f>$C$18*E18</f>
        <v>0</v>
      </c>
      <c r="K18" s="458">
        <f>$C$18*F18</f>
        <v>0</v>
      </c>
      <c r="N18" s="459" t="e">
        <f>J18/(Lähtötiedot!$C$8+Lähtötiedot!$C$16)</f>
        <v>#DIV/0!</v>
      </c>
      <c r="O18" s="459" t="e">
        <f>K18*(Lähtötiedot!$C$17*Ruokinta!$F$37)/(Lähtötiedot!$C$17*Ruokinta!$F$37+Ruokinta!$F$53*(Lähtötiedot!$C$18+Lähtötiedot!$C$19))/Lähtötiedot!$C$17</f>
        <v>#DIV/0!</v>
      </c>
      <c r="P18" s="459">
        <f>IF(Lähtötiedot!$C$18+Lähtötiedot!$C$19=0,0,K18*(Ruokinta!$F$53*(Lähtötiedot!$C$18+Lähtötiedot!$C$19)/(Lähtötiedot!$C$17*Ruokinta!$F$37+Ruokinta!$F$53*(Lähtötiedot!$C$18+Lähtötiedot!$C$19)))/(Lähtötiedot!$C$18+Lähtötiedot!$C$19))</f>
        <v>0</v>
      </c>
    </row>
    <row r="19" spans="2:37" x14ac:dyDescent="0.25">
      <c r="B19" s="449" t="s">
        <v>217</v>
      </c>
      <c r="C19" s="427"/>
      <c r="E19" s="254"/>
      <c r="F19" s="254"/>
      <c r="G19" s="457">
        <f t="shared" si="0"/>
        <v>0</v>
      </c>
      <c r="J19" s="458">
        <f>$C$19*E19</f>
        <v>0</v>
      </c>
      <c r="K19" s="458">
        <f>$C$19*F19</f>
        <v>0</v>
      </c>
      <c r="N19" s="459" t="e">
        <f>J19/(Lähtötiedot!$C$8+Lähtötiedot!$C$16)</f>
        <v>#DIV/0!</v>
      </c>
      <c r="O19" s="459" t="e">
        <f>K19*(Lähtötiedot!$C$17*Ruokinta!$F$37)/(Lähtötiedot!$C$17*Ruokinta!$F$37+Ruokinta!$F$53*(Lähtötiedot!$C$18+Lähtötiedot!$C$19))/Lähtötiedot!$C$17</f>
        <v>#DIV/0!</v>
      </c>
      <c r="P19" s="459">
        <f>IF(Lähtötiedot!$C$18+Lähtötiedot!$C$19=0,0,K19*(Ruokinta!$F$53*(Lähtötiedot!$C$18+Lähtötiedot!$C$19)/(Lähtötiedot!$C$17*Ruokinta!$F$37+Ruokinta!$F$53*(Lähtötiedot!$C$18+Lähtötiedot!$C$19)))/(Lähtötiedot!$C$18+Lähtötiedot!$C$19))</f>
        <v>0</v>
      </c>
    </row>
    <row r="20" spans="2:37" x14ac:dyDescent="0.25">
      <c r="B20" s="453" t="s">
        <v>218</v>
      </c>
      <c r="C20" s="427"/>
      <c r="E20" s="254"/>
      <c r="F20" s="254"/>
      <c r="G20" s="457">
        <f t="shared" si="0"/>
        <v>0</v>
      </c>
      <c r="J20" s="458">
        <f>$C$20*E20</f>
        <v>0</v>
      </c>
      <c r="K20" s="458">
        <f>$C$20*F20</f>
        <v>0</v>
      </c>
      <c r="N20" s="459" t="e">
        <f>J20/(Lähtötiedot!$C$8+Lähtötiedot!$C$16)</f>
        <v>#DIV/0!</v>
      </c>
      <c r="O20" s="459" t="e">
        <f>K20*(Lähtötiedot!$C$17*Ruokinta!$F$37)/(Lähtötiedot!$C$17*Ruokinta!$F$37+Ruokinta!$F$53*(Lähtötiedot!$C$18+Lähtötiedot!$C$19))/Lähtötiedot!$C$17</f>
        <v>#DIV/0!</v>
      </c>
      <c r="P20" s="459">
        <f>IF(Lähtötiedot!$C$18+Lähtötiedot!$C$19=0,0,K20*(Ruokinta!$F$53*(Lähtötiedot!$C$18+Lähtötiedot!$C$19)/(Lähtötiedot!$C$17*Ruokinta!$F$37+Ruokinta!$F$53*(Lähtötiedot!$C$18+Lähtötiedot!$C$19)))/(Lähtötiedot!$C$18+Lähtötiedot!$C$19))</f>
        <v>0</v>
      </c>
    </row>
    <row r="21" spans="2:37" x14ac:dyDescent="0.25">
      <c r="B21" s="449" t="s">
        <v>219</v>
      </c>
      <c r="C21" s="427"/>
      <c r="E21" s="254"/>
      <c r="F21" s="254"/>
      <c r="G21" s="457">
        <f t="shared" si="0"/>
        <v>0</v>
      </c>
      <c r="J21" s="458">
        <f>$C$21*E21</f>
        <v>0</v>
      </c>
      <c r="K21" s="458">
        <f>$C$21*F21</f>
        <v>0</v>
      </c>
      <c r="N21" s="459" t="e">
        <f>J21/(Lähtötiedot!$C$8+Lähtötiedot!$C$16)</f>
        <v>#DIV/0!</v>
      </c>
      <c r="O21" s="459" t="e">
        <f>K21*(Lähtötiedot!$C$17*Ruokinta!$F$37)/(Lähtötiedot!$C$17*Ruokinta!$F$37+Ruokinta!$F$53*(Lähtötiedot!$C$18+Lähtötiedot!$C$19))/Lähtötiedot!$C$17</f>
        <v>#DIV/0!</v>
      </c>
      <c r="P21" s="459">
        <f>IF(Lähtötiedot!$C$18+Lähtötiedot!$C$19=0,0,K21*(Ruokinta!$F$53*(Lähtötiedot!$C$18+Lähtötiedot!$C$19)/(Lähtötiedot!$C$17*Ruokinta!$F$37+Ruokinta!$F$53*(Lähtötiedot!$C$18+Lähtötiedot!$C$19)))/(Lähtötiedot!$C$18+Lähtötiedot!$C$19))</f>
        <v>0</v>
      </c>
    </row>
    <row r="22" spans="2:37" x14ac:dyDescent="0.25">
      <c r="B22" s="449" t="s">
        <v>220</v>
      </c>
      <c r="C22" s="427"/>
      <c r="E22" s="254"/>
      <c r="F22" s="254"/>
      <c r="G22" s="457">
        <f t="shared" si="0"/>
        <v>0</v>
      </c>
      <c r="J22" s="458">
        <f>$C$22*E22</f>
        <v>0</v>
      </c>
      <c r="K22" s="458">
        <f>$C$22*F22</f>
        <v>0</v>
      </c>
      <c r="N22" s="459" t="e">
        <f>J22/(Lähtötiedot!$C$8+Lähtötiedot!$C$16)</f>
        <v>#DIV/0!</v>
      </c>
      <c r="O22" s="459" t="e">
        <f>K22*(Lähtötiedot!$C$17*Ruokinta!$F$37)/(Lähtötiedot!$C$17*Ruokinta!$F$37+Ruokinta!$F$53*(Lähtötiedot!$C$18+Lähtötiedot!$C$19))/Lähtötiedot!$C$17</f>
        <v>#DIV/0!</v>
      </c>
      <c r="P22" s="459">
        <f>IF(Lähtötiedot!$C$18+Lähtötiedot!$C$19=0,0,K22*(Ruokinta!$F$53*(Lähtötiedot!$C$18+Lähtötiedot!$C$19)/(Lähtötiedot!$C$17*Ruokinta!$F$37+Ruokinta!$F$53*(Lähtötiedot!$C$18+Lähtötiedot!$C$19)))/(Lähtötiedot!$C$18+Lähtötiedot!$C$19))</f>
        <v>0</v>
      </c>
    </row>
    <row r="23" spans="2:37" x14ac:dyDescent="0.25">
      <c r="B23" s="449" t="s">
        <v>236</v>
      </c>
      <c r="C23" s="427"/>
      <c r="E23" s="254"/>
      <c r="F23" s="254"/>
      <c r="G23" s="457">
        <f t="shared" si="0"/>
        <v>0</v>
      </c>
      <c r="J23" s="458">
        <f>$C$23*E23</f>
        <v>0</v>
      </c>
      <c r="K23" s="458">
        <f>$C$23*F23</f>
        <v>0</v>
      </c>
      <c r="N23" s="459" t="e">
        <f>J23/(Lähtötiedot!$C$8+Lähtötiedot!$C$16)</f>
        <v>#DIV/0!</v>
      </c>
      <c r="O23" s="459" t="e">
        <f>K23*(Lähtötiedot!$C$17*Ruokinta!$F$37)/(Lähtötiedot!$C$17*Ruokinta!$F$37+Ruokinta!$F$53*(Lähtötiedot!$C$18+Lähtötiedot!$C$19))/Lähtötiedot!$C$17</f>
        <v>#DIV/0!</v>
      </c>
      <c r="P23" s="459">
        <f>IF(Lähtötiedot!$C$18+Lähtötiedot!$C$19=0,0,K23*(Ruokinta!$F$53*(Lähtötiedot!$C$18+Lähtötiedot!$C$19)/(Lähtötiedot!$C$17*Ruokinta!$F$37+Ruokinta!$F$53*(Lähtötiedot!$C$18+Lähtötiedot!$C$19)))/(Lähtötiedot!$C$18+Lähtötiedot!$C$19))</f>
        <v>0</v>
      </c>
    </row>
    <row r="24" spans="2:37" x14ac:dyDescent="0.25">
      <c r="B24" s="445"/>
      <c r="C24" s="427"/>
      <c r="E24" s="254"/>
      <c r="F24" s="254"/>
      <c r="G24" s="457">
        <f t="shared" si="0"/>
        <v>0</v>
      </c>
      <c r="J24" s="458">
        <f>$C$24*E24</f>
        <v>0</v>
      </c>
      <c r="K24" s="458">
        <f>$C$24*F24</f>
        <v>0</v>
      </c>
      <c r="N24" s="459" t="e">
        <f>J24/(Lähtötiedot!$C$8+Lähtötiedot!$C$16)</f>
        <v>#DIV/0!</v>
      </c>
      <c r="O24" s="459" t="e">
        <f>K24*(Lähtötiedot!$C$17*Ruokinta!$F$37)/(Lähtötiedot!$C$17*Ruokinta!$F$37+Ruokinta!$F$53*(Lähtötiedot!$C$18+Lähtötiedot!$C$19))/Lähtötiedot!$C$17</f>
        <v>#DIV/0!</v>
      </c>
      <c r="P24" s="459">
        <f>IF(Lähtötiedot!$C$18+Lähtötiedot!$C$19=0,0,K24*(Ruokinta!$F$53*(Lähtötiedot!$C$18+Lähtötiedot!$C$19)/(Lähtötiedot!$C$17*Ruokinta!$F$37+Ruokinta!$F$53*(Lähtötiedot!$C$18+Lähtötiedot!$C$19)))/(Lähtötiedot!$C$18+Lähtötiedot!$C$19))</f>
        <v>0</v>
      </c>
    </row>
    <row r="25" spans="2:37" x14ac:dyDescent="0.25">
      <c r="B25" s="447"/>
      <c r="C25" s="427"/>
      <c r="E25" s="254"/>
      <c r="F25" s="254"/>
      <c r="G25" s="457">
        <f t="shared" si="0"/>
        <v>0</v>
      </c>
      <c r="J25" s="458">
        <f>$C$25*E25</f>
        <v>0</v>
      </c>
      <c r="K25" s="458">
        <f>$C$25*F25</f>
        <v>0</v>
      </c>
      <c r="N25" s="459" t="e">
        <f>J25/(Lähtötiedot!$C$8+Lähtötiedot!$C$16)</f>
        <v>#DIV/0!</v>
      </c>
      <c r="O25" s="459" t="e">
        <f>K25*(Lähtötiedot!$C$17*Ruokinta!$F$37)/(Lähtötiedot!$C$17*Ruokinta!$F$37+Ruokinta!$F$53*(Lähtötiedot!$C$18+Lähtötiedot!$C$19))/Lähtötiedot!$C$17</f>
        <v>#DIV/0!</v>
      </c>
      <c r="P25" s="459">
        <f>IF(Lähtötiedot!$C$18+Lähtötiedot!$C$19=0,0,K25*(Ruokinta!$F$53*(Lähtötiedot!$C$18+Lähtötiedot!$C$19)/(Lähtötiedot!$C$17*Ruokinta!$F$37+Ruokinta!$F$53*(Lähtötiedot!$C$18+Lähtötiedot!$C$19)))/(Lähtötiedot!$C$18+Lähtötiedot!$C$19))</f>
        <v>0</v>
      </c>
    </row>
    <row r="26" spans="2:37" x14ac:dyDescent="0.25">
      <c r="B26" s="445"/>
      <c r="C26" s="427"/>
      <c r="E26" s="254"/>
      <c r="F26" s="254"/>
      <c r="G26" s="457">
        <f t="shared" si="0"/>
        <v>0</v>
      </c>
      <c r="J26" s="458">
        <f>$C$26*E26</f>
        <v>0</v>
      </c>
      <c r="K26" s="458">
        <f>$C$26*F26</f>
        <v>0</v>
      </c>
      <c r="N26" s="459" t="e">
        <f>J26/(Lähtötiedot!$C$8+Lähtötiedot!$C$16)</f>
        <v>#DIV/0!</v>
      </c>
      <c r="O26" s="459" t="e">
        <f>K26*(Lähtötiedot!$C$17*Ruokinta!$F$37)/(Lähtötiedot!$C$17*Ruokinta!$F$37+Ruokinta!$F$53*(Lähtötiedot!$C$18+Lähtötiedot!$C$19))/Lähtötiedot!$C$17</f>
        <v>#DIV/0!</v>
      </c>
      <c r="P26" s="459">
        <f>IF(Lähtötiedot!$C$18+Lähtötiedot!$C$19=0,0,K26*(Ruokinta!$F$53*(Lähtötiedot!$C$18+Lähtötiedot!$C$19)/(Lähtötiedot!$C$17*Ruokinta!$F$37+Ruokinta!$F$53*(Lähtötiedot!$C$18+Lähtötiedot!$C$19)))/(Lähtötiedot!$C$18+Lähtötiedot!$C$19))</f>
        <v>0</v>
      </c>
    </row>
    <row r="27" spans="2:37" x14ac:dyDescent="0.25">
      <c r="B27" s="445"/>
      <c r="C27" s="427"/>
      <c r="E27" s="254"/>
      <c r="F27" s="254"/>
      <c r="G27" s="457">
        <f t="shared" si="0"/>
        <v>0</v>
      </c>
      <c r="J27" s="458">
        <f>$C$27*E27</f>
        <v>0</v>
      </c>
      <c r="K27" s="458">
        <f>$C$27*F27</f>
        <v>0</v>
      </c>
      <c r="N27" s="459" t="e">
        <f>J27/(Lähtötiedot!$C$8+Lähtötiedot!$C$16)</f>
        <v>#DIV/0!</v>
      </c>
      <c r="O27" s="459" t="e">
        <f>K27*(Lähtötiedot!$C$17*Ruokinta!$F$37)/(Lähtötiedot!$C$17*Ruokinta!$F$37+Ruokinta!$F$53*(Lähtötiedot!$C$18+Lähtötiedot!$C$19))/Lähtötiedot!$C$17</f>
        <v>#DIV/0!</v>
      </c>
      <c r="P27" s="459">
        <f>IF(Lähtötiedot!$C$18+Lähtötiedot!$C$19=0,0,K27*(Ruokinta!$F$53*(Lähtötiedot!$C$18+Lähtötiedot!$C$19)/(Lähtötiedot!$C$17*Ruokinta!$F$37+Ruokinta!$F$53*(Lähtötiedot!$C$18+Lähtötiedot!$C$19)))/(Lähtötiedot!$C$18+Lähtötiedot!$C$19))</f>
        <v>0</v>
      </c>
    </row>
    <row r="28" spans="2:37" x14ac:dyDescent="0.25">
      <c r="B28" s="460" t="s">
        <v>36</v>
      </c>
      <c r="C28" s="408">
        <f>SUM(C17:C27)</f>
        <v>0</v>
      </c>
      <c r="I28" s="405" t="s">
        <v>36</v>
      </c>
      <c r="J28" s="461">
        <f>SUM(J17:J27)</f>
        <v>0</v>
      </c>
      <c r="K28" s="461">
        <f t="shared" ref="K28" si="1">SUM(K17:K27)</f>
        <v>0</v>
      </c>
      <c r="L28" s="405"/>
      <c r="M28" s="405" t="s">
        <v>36</v>
      </c>
      <c r="N28" s="462" t="e">
        <f>SUM(N17:N27)</f>
        <v>#DIV/0!</v>
      </c>
      <c r="O28" s="462" t="e">
        <f t="shared" ref="O28:P28" si="2">SUM(O17:O27)</f>
        <v>#DIV/0!</v>
      </c>
      <c r="P28" s="462">
        <f t="shared" si="2"/>
        <v>0</v>
      </c>
      <c r="AE28" s="463" t="s">
        <v>189</v>
      </c>
      <c r="AF28" s="463"/>
      <c r="AG28" s="463"/>
    </row>
    <row r="29" spans="2:37" x14ac:dyDescent="0.25">
      <c r="AE29" s="463"/>
      <c r="AF29" s="463"/>
      <c r="AG29" s="463"/>
    </row>
    <row r="31" spans="2:37" x14ac:dyDescent="0.25">
      <c r="M31" s="405" t="s">
        <v>286</v>
      </c>
      <c r="S31" s="405" t="s">
        <v>224</v>
      </c>
      <c r="Y31" s="405" t="s">
        <v>224</v>
      </c>
      <c r="AE31" s="405" t="s">
        <v>224</v>
      </c>
      <c r="AK31" s="405" t="s">
        <v>224</v>
      </c>
    </row>
    <row r="32" spans="2:37" x14ac:dyDescent="0.25">
      <c r="B32" s="405" t="s">
        <v>41</v>
      </c>
      <c r="G32" s="405" t="s">
        <v>285</v>
      </c>
      <c r="M32" s="405" t="s">
        <v>287</v>
      </c>
      <c r="S32" s="405" t="s">
        <v>225</v>
      </c>
      <c r="Y32" s="405" t="s">
        <v>226</v>
      </c>
      <c r="AE32" s="405" t="s">
        <v>225</v>
      </c>
      <c r="AK32" s="405" t="s">
        <v>226</v>
      </c>
    </row>
    <row r="33" spans="2:41" x14ac:dyDescent="0.25">
      <c r="B33" s="449"/>
      <c r="C33" s="406" t="s">
        <v>1</v>
      </c>
      <c r="D33" s="406" t="s">
        <v>205</v>
      </c>
      <c r="E33" s="406" t="s">
        <v>85</v>
      </c>
      <c r="G33" s="464"/>
      <c r="H33" s="464"/>
      <c r="I33" s="406" t="s">
        <v>1</v>
      </c>
      <c r="J33" s="406" t="s">
        <v>205</v>
      </c>
      <c r="K33" s="406" t="s">
        <v>85</v>
      </c>
      <c r="M33" s="464"/>
      <c r="N33" s="464"/>
      <c r="O33" s="406" t="s">
        <v>1</v>
      </c>
      <c r="P33" s="406" t="s">
        <v>205</v>
      </c>
      <c r="Q33" s="406" t="s">
        <v>85</v>
      </c>
      <c r="S33" s="464"/>
      <c r="T33" s="464"/>
      <c r="U33" s="406" t="s">
        <v>1</v>
      </c>
      <c r="V33" s="406" t="s">
        <v>205</v>
      </c>
      <c r="W33" s="406" t="s">
        <v>85</v>
      </c>
      <c r="Y33" s="464"/>
      <c r="Z33" s="464"/>
      <c r="AA33" s="406" t="s">
        <v>1</v>
      </c>
      <c r="AB33" s="406" t="s">
        <v>205</v>
      </c>
      <c r="AC33" s="406" t="s">
        <v>85</v>
      </c>
      <c r="AE33" s="464"/>
      <c r="AF33" s="464"/>
      <c r="AG33" s="406" t="s">
        <v>1</v>
      </c>
      <c r="AH33" s="406" t="s">
        <v>205</v>
      </c>
      <c r="AI33" s="406" t="s">
        <v>85</v>
      </c>
      <c r="AK33" s="464"/>
      <c r="AL33" s="464"/>
      <c r="AM33" s="406" t="s">
        <v>1</v>
      </c>
      <c r="AN33" s="406" t="s">
        <v>205</v>
      </c>
      <c r="AO33" s="406" t="s">
        <v>85</v>
      </c>
    </row>
    <row r="34" spans="2:41" x14ac:dyDescent="0.25">
      <c r="B34" s="449" t="s">
        <v>299</v>
      </c>
      <c r="C34" s="408">
        <f>Lähtötiedot!C8+Lähtötiedot!C16</f>
        <v>0</v>
      </c>
      <c r="D34" s="410" t="e">
        <f>N28</f>
        <v>#DIV/0!</v>
      </c>
      <c r="E34" s="408" t="e">
        <f>C34*D34</f>
        <v>#DIV/0!</v>
      </c>
      <c r="G34" s="464" t="s">
        <v>299</v>
      </c>
      <c r="H34" s="464"/>
      <c r="I34" s="408" t="e">
        <f ca="1">Lähtötiedot!G8+Lähtötiedot!G16</f>
        <v>#N/A</v>
      </c>
      <c r="J34" s="410" t="e">
        <f>D34</f>
        <v>#DIV/0!</v>
      </c>
      <c r="K34" s="408" t="e">
        <f ca="1">I34*J34</f>
        <v>#N/A</v>
      </c>
      <c r="M34" s="464" t="s">
        <v>299</v>
      </c>
      <c r="N34" s="464"/>
      <c r="O34" s="408" t="e">
        <f ca="1">Lähtötiedot!K8+Lähtötiedot!K16</f>
        <v>#N/A</v>
      </c>
      <c r="P34" s="410" t="e">
        <f>D34</f>
        <v>#DIV/0!</v>
      </c>
      <c r="Q34" s="408" t="e">
        <f ca="1">O34*P34</f>
        <v>#N/A</v>
      </c>
      <c r="S34" s="464" t="s">
        <v>299</v>
      </c>
      <c r="T34" s="464"/>
      <c r="U34" s="408">
        <f>Lähtötiedot!O8+Lähtötiedot!O16</f>
        <v>0</v>
      </c>
      <c r="V34" s="410" t="e">
        <f>D34</f>
        <v>#DIV/0!</v>
      </c>
      <c r="W34" s="408" t="e">
        <f>U34*V34</f>
        <v>#DIV/0!</v>
      </c>
      <c r="Y34" s="464" t="s">
        <v>299</v>
      </c>
      <c r="Z34" s="464"/>
      <c r="AA34" s="408">
        <f>Lähtötiedot!S8+Lähtötiedot!S16</f>
        <v>0</v>
      </c>
      <c r="AB34" s="410" t="e">
        <f>D34</f>
        <v>#DIV/0!</v>
      </c>
      <c r="AC34" s="408" t="e">
        <f>AA34*AB34</f>
        <v>#DIV/0!</v>
      </c>
      <c r="AE34" s="464" t="s">
        <v>299</v>
      </c>
      <c r="AF34" s="464"/>
      <c r="AG34" s="408">
        <f>Lähtötiedot!O35+Lähtötiedot!O43</f>
        <v>0</v>
      </c>
      <c r="AH34" s="410" t="e">
        <f>D34</f>
        <v>#DIV/0!</v>
      </c>
      <c r="AI34" s="408" t="e">
        <f>AG34*AH34</f>
        <v>#DIV/0!</v>
      </c>
      <c r="AK34" s="464" t="s">
        <v>299</v>
      </c>
      <c r="AL34" s="464"/>
      <c r="AM34" s="408">
        <f>Lähtötiedot!S35+Lähtötiedot!S43</f>
        <v>0</v>
      </c>
      <c r="AN34" s="410" t="e">
        <f>D34</f>
        <v>#DIV/0!</v>
      </c>
      <c r="AO34" s="408" t="e">
        <f>AM34*AN34</f>
        <v>#DIV/0!</v>
      </c>
    </row>
    <row r="35" spans="2:41" x14ac:dyDescent="0.25">
      <c r="B35" s="449" t="s">
        <v>188</v>
      </c>
      <c r="C35" s="408">
        <f>Lähtötiedot!C17</f>
        <v>0</v>
      </c>
      <c r="D35" s="410" t="e">
        <f>O28</f>
        <v>#DIV/0!</v>
      </c>
      <c r="E35" s="408" t="e">
        <f t="shared" ref="E35:E36" si="3">C35*D35</f>
        <v>#DIV/0!</v>
      </c>
      <c r="G35" s="464" t="s">
        <v>188</v>
      </c>
      <c r="H35" s="464"/>
      <c r="I35" s="408">
        <f>Lähtötiedot!G17</f>
        <v>0</v>
      </c>
      <c r="J35" s="410" t="e">
        <f>D35</f>
        <v>#DIV/0!</v>
      </c>
      <c r="K35" s="408" t="e">
        <f t="shared" ref="K35:K36" si="4">I35*J35</f>
        <v>#DIV/0!</v>
      </c>
      <c r="M35" s="464" t="s">
        <v>188</v>
      </c>
      <c r="N35" s="464"/>
      <c r="O35" s="408" t="e">
        <f ca="1">Lähtötiedot!K17</f>
        <v>#N/A</v>
      </c>
      <c r="P35" s="410" t="e">
        <f>D35</f>
        <v>#DIV/0!</v>
      </c>
      <c r="Q35" s="408" t="e">
        <f t="shared" ref="Q35:Q36" ca="1" si="5">O35*P35</f>
        <v>#N/A</v>
      </c>
      <c r="S35" s="464" t="s">
        <v>188</v>
      </c>
      <c r="T35" s="464"/>
      <c r="U35" s="408" t="e">
        <f ca="1">Lähtötiedot!O17</f>
        <v>#N/A</v>
      </c>
      <c r="V35" s="410" t="e">
        <f>D35</f>
        <v>#DIV/0!</v>
      </c>
      <c r="W35" s="408" t="e">
        <f t="shared" ref="W35:W36" ca="1" si="6">U35*V35</f>
        <v>#N/A</v>
      </c>
      <c r="Y35" s="464" t="s">
        <v>188</v>
      </c>
      <c r="Z35" s="464"/>
      <c r="AA35" s="408" t="e">
        <f ca="1">Lähtötiedot!S17</f>
        <v>#N/A</v>
      </c>
      <c r="AB35" s="410" t="e">
        <f>D35</f>
        <v>#DIV/0!</v>
      </c>
      <c r="AC35" s="408" t="e">
        <f t="shared" ref="AC35:AC36" ca="1" si="7">AA35*AB35</f>
        <v>#N/A</v>
      </c>
      <c r="AE35" s="464" t="s">
        <v>188</v>
      </c>
      <c r="AF35" s="464"/>
      <c r="AG35" s="408" t="e">
        <f ca="1">Lähtötiedot!O44</f>
        <v>#N/A</v>
      </c>
      <c r="AH35" s="410" t="e">
        <f>D35</f>
        <v>#DIV/0!</v>
      </c>
      <c r="AI35" s="408" t="e">
        <f t="shared" ref="AI35:AI36" ca="1" si="8">AG35*AH35</f>
        <v>#N/A</v>
      </c>
      <c r="AK35" s="464" t="s">
        <v>188</v>
      </c>
      <c r="AL35" s="464"/>
      <c r="AM35" s="408" t="e">
        <f ca="1">Lähtötiedot!S44</f>
        <v>#N/A</v>
      </c>
      <c r="AN35" s="410" t="e">
        <f>D35</f>
        <v>#DIV/0!</v>
      </c>
      <c r="AO35" s="408" t="e">
        <f t="shared" ref="AO35:AO36" ca="1" si="9">AM35*AN35</f>
        <v>#N/A</v>
      </c>
    </row>
    <row r="36" spans="2:41" x14ac:dyDescent="0.25">
      <c r="B36" s="449" t="s">
        <v>197</v>
      </c>
      <c r="C36" s="408">
        <f>Lähtötiedot!C18+Lähtötiedot!C19</f>
        <v>0</v>
      </c>
      <c r="D36" s="410">
        <f>P28</f>
        <v>0</v>
      </c>
      <c r="E36" s="408">
        <f t="shared" si="3"/>
        <v>0</v>
      </c>
      <c r="G36" s="464" t="s">
        <v>197</v>
      </c>
      <c r="H36" s="464"/>
      <c r="I36" s="408" t="e">
        <f ca="1">Lähtötiedot!G18+Lähtötiedot!G19</f>
        <v>#N/A</v>
      </c>
      <c r="J36" s="410" t="e">
        <f>O28*Ruokinta!F53/Ruokinta!F37</f>
        <v>#DIV/0!</v>
      </c>
      <c r="K36" s="408" t="e">
        <f t="shared" ca="1" si="4"/>
        <v>#N/A</v>
      </c>
      <c r="M36" s="464" t="s">
        <v>197</v>
      </c>
      <c r="N36" s="464"/>
      <c r="O36" s="408" t="e">
        <f ca="1">Lähtötiedot!K18+Lähtötiedot!K19</f>
        <v>#N/A</v>
      </c>
      <c r="P36" s="410" t="e">
        <f>J36</f>
        <v>#DIV/0!</v>
      </c>
      <c r="Q36" s="408" t="e">
        <f t="shared" ca="1" si="5"/>
        <v>#N/A</v>
      </c>
      <c r="S36" s="464" t="s">
        <v>197</v>
      </c>
      <c r="T36" s="464"/>
      <c r="U36" s="408" t="e">
        <f ca="1">Lähtötiedot!O18+Lähtötiedot!O19</f>
        <v>#N/A</v>
      </c>
      <c r="V36" s="410" t="e">
        <f>J36</f>
        <v>#DIV/0!</v>
      </c>
      <c r="W36" s="408" t="e">
        <f t="shared" ca="1" si="6"/>
        <v>#N/A</v>
      </c>
      <c r="Y36" s="464" t="s">
        <v>197</v>
      </c>
      <c r="Z36" s="464"/>
      <c r="AA36" s="408" t="e">
        <f ca="1">Lähtötiedot!S18+Lähtötiedot!S19</f>
        <v>#N/A</v>
      </c>
      <c r="AB36" s="410" t="e">
        <f>J36</f>
        <v>#DIV/0!</v>
      </c>
      <c r="AC36" s="408" t="e">
        <f t="shared" ca="1" si="7"/>
        <v>#N/A</v>
      </c>
      <c r="AE36" s="464" t="s">
        <v>197</v>
      </c>
      <c r="AF36" s="464"/>
      <c r="AG36" s="408" t="e">
        <f ca="1">Lähtötiedot!O45+Lähtötiedot!O46</f>
        <v>#N/A</v>
      </c>
      <c r="AH36" s="410" t="e">
        <f>J36</f>
        <v>#DIV/0!</v>
      </c>
      <c r="AI36" s="408" t="e">
        <f t="shared" ca="1" si="8"/>
        <v>#N/A</v>
      </c>
      <c r="AK36" s="464" t="s">
        <v>197</v>
      </c>
      <c r="AL36" s="464"/>
      <c r="AM36" s="408" t="e">
        <f ca="1">Lähtötiedot!S45+Lähtötiedot!S46</f>
        <v>#N/A</v>
      </c>
      <c r="AN36" s="410" t="e">
        <f>J36</f>
        <v>#DIV/0!</v>
      </c>
      <c r="AO36" s="408" t="e">
        <f t="shared" ca="1" si="9"/>
        <v>#N/A</v>
      </c>
    </row>
    <row r="37" spans="2:41" x14ac:dyDescent="0.25">
      <c r="B37" s="449" t="s">
        <v>85</v>
      </c>
      <c r="C37" s="408">
        <f>SUM(C34:C36)</f>
        <v>0</v>
      </c>
      <c r="D37" s="465"/>
      <c r="E37" s="466" t="e">
        <f>SUM(E34:E36)</f>
        <v>#DIV/0!</v>
      </c>
      <c r="G37" s="464" t="s">
        <v>85</v>
      </c>
      <c r="H37" s="464"/>
      <c r="I37" s="408" t="e">
        <f ca="1">SUM(I34:I36)</f>
        <v>#N/A</v>
      </c>
      <c r="J37" s="465"/>
      <c r="K37" s="466" t="e">
        <f ca="1">SUM(K34:K36)</f>
        <v>#N/A</v>
      </c>
      <c r="M37" s="464" t="s">
        <v>85</v>
      </c>
      <c r="N37" s="464"/>
      <c r="O37" s="408" t="e">
        <f ca="1">SUM(O34:O36)</f>
        <v>#N/A</v>
      </c>
      <c r="P37" s="465"/>
      <c r="Q37" s="466" t="e">
        <f ca="1">SUM(Q34:Q36)</f>
        <v>#N/A</v>
      </c>
      <c r="S37" s="464" t="s">
        <v>85</v>
      </c>
      <c r="T37" s="464"/>
      <c r="U37" s="408" t="e">
        <f ca="1">SUM(U34:U36)</f>
        <v>#N/A</v>
      </c>
      <c r="V37" s="465"/>
      <c r="W37" s="466" t="e">
        <f>SUM(W34:W36)</f>
        <v>#DIV/0!</v>
      </c>
      <c r="Y37" s="464" t="s">
        <v>85</v>
      </c>
      <c r="Z37" s="464"/>
      <c r="AA37" s="408" t="e">
        <f ca="1">SUM(AA34:AA36)</f>
        <v>#N/A</v>
      </c>
      <c r="AB37" s="465"/>
      <c r="AC37" s="466" t="e">
        <f>SUM(AC34:AC36)</f>
        <v>#DIV/0!</v>
      </c>
      <c r="AE37" s="464" t="s">
        <v>85</v>
      </c>
      <c r="AF37" s="464"/>
      <c r="AG37" s="408" t="e">
        <f ca="1">SUM(AG34:AG36)</f>
        <v>#N/A</v>
      </c>
      <c r="AH37" s="465"/>
      <c r="AI37" s="466" t="e">
        <f>SUM(AI34:AI36)</f>
        <v>#DIV/0!</v>
      </c>
      <c r="AK37" s="464" t="s">
        <v>85</v>
      </c>
      <c r="AL37" s="464"/>
      <c r="AM37" s="408" t="e">
        <f ca="1">SUM(AM34:AM36)</f>
        <v>#N/A</v>
      </c>
      <c r="AN37" s="465"/>
      <c r="AO37" s="466" t="e">
        <f>SUM(AO34:AO36)</f>
        <v>#DIV/0!</v>
      </c>
    </row>
    <row r="39" spans="2:41" ht="15" customHeight="1" x14ac:dyDescent="0.25">
      <c r="B39" s="449"/>
      <c r="C39" s="451" t="s">
        <v>311</v>
      </c>
      <c r="D39" s="406" t="s">
        <v>1</v>
      </c>
      <c r="E39" s="406" t="s">
        <v>85</v>
      </c>
      <c r="G39" s="467"/>
      <c r="H39" s="468"/>
      <c r="I39" s="406" t="s">
        <v>311</v>
      </c>
      <c r="J39" s="406" t="s">
        <v>1</v>
      </c>
      <c r="K39" s="406" t="s">
        <v>85</v>
      </c>
      <c r="M39" s="467"/>
      <c r="N39" s="468"/>
      <c r="O39" s="406" t="s">
        <v>311</v>
      </c>
      <c r="P39" s="406" t="s">
        <v>1</v>
      </c>
      <c r="Q39" s="406" t="s">
        <v>85</v>
      </c>
      <c r="S39" s="467"/>
      <c r="T39" s="468"/>
      <c r="U39" s="406" t="s">
        <v>311</v>
      </c>
      <c r="V39" s="406" t="s">
        <v>1</v>
      </c>
      <c r="W39" s="406" t="s">
        <v>85</v>
      </c>
      <c r="Y39" s="467"/>
      <c r="Z39" s="468"/>
      <c r="AA39" s="406" t="s">
        <v>311</v>
      </c>
      <c r="AB39" s="406" t="s">
        <v>1</v>
      </c>
      <c r="AC39" s="406" t="s">
        <v>85</v>
      </c>
      <c r="AE39" s="467"/>
      <c r="AF39" s="468"/>
      <c r="AG39" s="406" t="s">
        <v>311</v>
      </c>
      <c r="AH39" s="406" t="s">
        <v>1</v>
      </c>
      <c r="AI39" s="406" t="s">
        <v>85</v>
      </c>
      <c r="AK39" s="467"/>
      <c r="AL39" s="468"/>
      <c r="AM39" s="406" t="s">
        <v>311</v>
      </c>
      <c r="AN39" s="406" t="s">
        <v>1</v>
      </c>
      <c r="AO39" s="406" t="s">
        <v>85</v>
      </c>
    </row>
    <row r="40" spans="2:41" ht="15" customHeight="1" x14ac:dyDescent="0.25">
      <c r="B40" s="453" t="s">
        <v>312</v>
      </c>
      <c r="C40" s="469">
        <v>0.05</v>
      </c>
      <c r="D40" s="408" t="e">
        <f ca="1">(E37+Kuivituskustannukset!E21+Työkustannukset!E44+'Ruokinnan kustannukset'!E26)*60%</f>
        <v>#DIV/0!</v>
      </c>
      <c r="E40" s="408" t="e">
        <f ca="1">D40*C40</f>
        <v>#DIV/0!</v>
      </c>
      <c r="G40" s="467" t="s">
        <v>312</v>
      </c>
      <c r="H40" s="468"/>
      <c r="I40" s="469">
        <v>0.05</v>
      </c>
      <c r="J40" s="408" t="e">
        <f ca="1">(K37+Kuivituskustannukset!K21+Työkustannukset!L44+'Ruokinnan kustannukset'!N26)*60%</f>
        <v>#N/A</v>
      </c>
      <c r="K40" s="408" t="e">
        <f ca="1">I40*J40</f>
        <v>#N/A</v>
      </c>
      <c r="M40" s="467" t="s">
        <v>312</v>
      </c>
      <c r="N40" s="468"/>
      <c r="O40" s="469">
        <v>0.05</v>
      </c>
      <c r="P40" s="408" t="e">
        <f ca="1">(Q37+Kuivituskustannukset!P21+Työkustannukset!S44+'Ruokinnan kustannukset'!T26)*60%*1/1.3</f>
        <v>#N/A</v>
      </c>
      <c r="Q40" s="408" t="e">
        <f ca="1">O40*P40</f>
        <v>#N/A</v>
      </c>
      <c r="S40" s="467" t="s">
        <v>312</v>
      </c>
      <c r="T40" s="468"/>
      <c r="U40" s="469">
        <v>0.05</v>
      </c>
      <c r="V40" s="408" t="e">
        <f ca="1">(W37+Kuivituskustannukset!U21+Työkustannukset!Z44+'Ruokinnan kustannukset'!Z26)*60%</f>
        <v>#DIV/0!</v>
      </c>
      <c r="W40" s="408" t="e">
        <f ca="1">U40*V40</f>
        <v>#DIV/0!</v>
      </c>
      <c r="Y40" s="467" t="s">
        <v>312</v>
      </c>
      <c r="Z40" s="468"/>
      <c r="AA40" s="469">
        <v>0.05</v>
      </c>
      <c r="AB40" s="408" t="e">
        <f ca="1">(AC37+Kuivituskustannukset!Z21+Työkustannukset!AG44+'Ruokinnan kustannukset'!AF26)*60%*1/1.3</f>
        <v>#DIV/0!</v>
      </c>
      <c r="AC40" s="408" t="e">
        <f ca="1">AA40*AB40</f>
        <v>#DIV/0!</v>
      </c>
      <c r="AE40" s="467" t="s">
        <v>312</v>
      </c>
      <c r="AF40" s="468"/>
      <c r="AG40" s="469">
        <v>0.05</v>
      </c>
      <c r="AH40" s="408" t="e">
        <f ca="1">(AI37+Kuivituskustannukset!AE21+Työkustannukset!Z64+'Ruokinnan kustannukset'!Z58)*60%</f>
        <v>#DIV/0!</v>
      </c>
      <c r="AI40" s="408" t="e">
        <f ca="1">AG40*AH40</f>
        <v>#DIV/0!</v>
      </c>
      <c r="AK40" s="467" t="s">
        <v>312</v>
      </c>
      <c r="AL40" s="468"/>
      <c r="AM40" s="469">
        <v>0.05</v>
      </c>
      <c r="AN40" s="408" t="e">
        <f ca="1">(AO37+Kuivituskustannukset!AJ21+Työkustannukset!AG64+'Ruokinnan kustannukset'!AF58)*60%*1/1.3</f>
        <v>#DIV/0!</v>
      </c>
      <c r="AO40" s="408" t="e">
        <f ca="1">AM40*AN40</f>
        <v>#DIV/0!</v>
      </c>
    </row>
  </sheetData>
  <sheetProtection algorithmName="SHA-512" hashValue="24ddrZtaYO+j5GLDKAklloGo5jSHzS7ATVd+5WxUTyl/UaVK4X851blEZ02X7QwAGyfMRlS64DYK1vqNqcx/tw==" saltValue="7f5XIXP2co0bjzmizr8CAQ==" spinCount="100000" sheet="1" objects="1" scenarios="1"/>
  <mergeCells count="43">
    <mergeCell ref="AK39:AL39"/>
    <mergeCell ref="G39:H39"/>
    <mergeCell ref="M39:N39"/>
    <mergeCell ref="S39:T39"/>
    <mergeCell ref="Y39:Z39"/>
    <mergeCell ref="AE39:AF39"/>
    <mergeCell ref="AE28:AG29"/>
    <mergeCell ref="Y33:Z33"/>
    <mergeCell ref="AK33:AL33"/>
    <mergeCell ref="Y37:Z37"/>
    <mergeCell ref="Y36:Z36"/>
    <mergeCell ref="Y35:Z35"/>
    <mergeCell ref="Y34:Z34"/>
    <mergeCell ref="AK37:AL37"/>
    <mergeCell ref="AK36:AL36"/>
    <mergeCell ref="AK35:AL35"/>
    <mergeCell ref="AK34:AL34"/>
    <mergeCell ref="M34:N34"/>
    <mergeCell ref="S34:T34"/>
    <mergeCell ref="M33:N33"/>
    <mergeCell ref="AE37:AF37"/>
    <mergeCell ref="AE36:AF36"/>
    <mergeCell ref="AE35:AF35"/>
    <mergeCell ref="AE34:AF34"/>
    <mergeCell ref="AE33:AF33"/>
    <mergeCell ref="S37:T37"/>
    <mergeCell ref="S36:T36"/>
    <mergeCell ref="M37:N37"/>
    <mergeCell ref="M36:N36"/>
    <mergeCell ref="M35:N35"/>
    <mergeCell ref="S35:T35"/>
    <mergeCell ref="S33:T33"/>
    <mergeCell ref="G33:H33"/>
    <mergeCell ref="G37:H37"/>
    <mergeCell ref="G36:H36"/>
    <mergeCell ref="G35:H35"/>
    <mergeCell ref="G34:H34"/>
    <mergeCell ref="AE40:AF40"/>
    <mergeCell ref="AK40:AL40"/>
    <mergeCell ref="G40:H40"/>
    <mergeCell ref="M40:N40"/>
    <mergeCell ref="S40:T40"/>
    <mergeCell ref="Y40:Z40"/>
  </mergeCells>
  <pageMargins left="0.7" right="0.7" top="0.75" bottom="0.75" header="0.3" footer="0.3"/>
  <pageSetup paperSize="9" orientation="portrait" horizontalDpi="300" verticalDpi="0" copies="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2"/>
  <sheetViews>
    <sheetView workbookViewId="0">
      <selection activeCell="B2" sqref="B2"/>
    </sheetView>
  </sheetViews>
  <sheetFormatPr defaultRowHeight="15" x14ac:dyDescent="0.25"/>
  <cols>
    <col min="1" max="1" width="7.140625" style="122" customWidth="1"/>
    <col min="2" max="2" width="24.7109375" customWidth="1"/>
    <col min="3" max="3" width="10.5703125" customWidth="1"/>
    <col min="4" max="5" width="10.85546875" customWidth="1"/>
    <col min="7" max="7" width="24.5703125" customWidth="1"/>
    <col min="8" max="8" width="10.5703125" customWidth="1"/>
    <col min="9" max="9" width="10.85546875" customWidth="1"/>
    <col min="10" max="10" width="10.5703125" bestFit="1" customWidth="1"/>
    <col min="12" max="12" width="24.28515625" customWidth="1"/>
    <col min="13" max="13" width="10.5703125" customWidth="1"/>
    <col min="14" max="14" width="10.85546875" customWidth="1"/>
    <col min="15" max="15" width="10.5703125" bestFit="1" customWidth="1"/>
    <col min="17" max="17" width="25.42578125" customWidth="1"/>
    <col min="18" max="18" width="10.5703125" customWidth="1"/>
    <col min="19" max="19" width="10.85546875" customWidth="1"/>
    <col min="20" max="20" width="10.42578125" customWidth="1"/>
    <col min="22" max="22" width="24.85546875" customWidth="1"/>
    <col min="23" max="23" width="10.5703125" customWidth="1"/>
    <col min="24" max="24" width="10.85546875" customWidth="1"/>
    <col min="25" max="25" width="10.7109375" customWidth="1"/>
  </cols>
  <sheetData>
    <row r="1" spans="1:25" ht="15.75" x14ac:dyDescent="0.25">
      <c r="A1" s="296" t="s">
        <v>267</v>
      </c>
      <c r="G1" s="122"/>
      <c r="H1" s="122"/>
      <c r="I1" s="122"/>
      <c r="J1" s="122"/>
      <c r="K1" s="122"/>
      <c r="L1" s="211" t="s">
        <v>286</v>
      </c>
      <c r="N1" s="122"/>
      <c r="O1" s="122"/>
      <c r="P1" s="122"/>
      <c r="Q1" s="211" t="s">
        <v>224</v>
      </c>
      <c r="R1" s="122"/>
      <c r="T1" s="122"/>
      <c r="U1" s="122"/>
      <c r="V1" s="211" t="s">
        <v>224</v>
      </c>
      <c r="W1" s="122"/>
      <c r="X1" s="122"/>
    </row>
    <row r="2" spans="1:25" s="40" customFormat="1" x14ac:dyDescent="0.25">
      <c r="A2" s="122"/>
      <c r="B2" s="211" t="s">
        <v>41</v>
      </c>
      <c r="G2" s="211" t="s">
        <v>285</v>
      </c>
      <c r="H2" s="122"/>
      <c r="I2" s="122"/>
      <c r="J2" s="122"/>
      <c r="K2" s="122"/>
      <c r="L2" s="211" t="s">
        <v>287</v>
      </c>
      <c r="N2" s="122"/>
      <c r="O2" s="122"/>
      <c r="P2" s="122"/>
      <c r="Q2" s="211" t="s">
        <v>225</v>
      </c>
      <c r="R2" s="122"/>
      <c r="T2" s="122"/>
      <c r="U2" s="122"/>
      <c r="V2" s="211" t="s">
        <v>226</v>
      </c>
      <c r="W2" s="122"/>
      <c r="X2" s="122"/>
    </row>
    <row r="3" spans="1:25" s="40" customFormat="1" x14ac:dyDescent="0.25">
      <c r="A3" s="122"/>
      <c r="G3" s="122"/>
      <c r="H3" s="122"/>
      <c r="I3" s="122"/>
      <c r="L3" s="122"/>
      <c r="M3" s="122"/>
      <c r="N3" s="122"/>
      <c r="O3" s="122"/>
      <c r="Q3" s="122"/>
      <c r="R3" s="122"/>
      <c r="S3" s="122"/>
      <c r="T3" s="122"/>
      <c r="V3" s="122"/>
      <c r="W3" s="122"/>
      <c r="X3" s="122"/>
      <c r="Y3" s="122"/>
    </row>
    <row r="4" spans="1:25" s="51" customFormat="1" x14ac:dyDescent="0.25">
      <c r="A4" s="122"/>
      <c r="B4" s="89" t="s">
        <v>108</v>
      </c>
      <c r="C4" s="92">
        <f>Lähtötiedot!C16</f>
        <v>0</v>
      </c>
      <c r="G4" s="89" t="s">
        <v>108</v>
      </c>
      <c r="H4" s="135" t="e">
        <f ca="1">Ruokinta!W11</f>
        <v>#N/A</v>
      </c>
      <c r="I4" s="122"/>
      <c r="L4" s="89" t="s">
        <v>108</v>
      </c>
      <c r="M4" s="135" t="e">
        <f ca="1">Lähtötiedot!K16</f>
        <v>#N/A</v>
      </c>
      <c r="N4" s="122"/>
      <c r="O4" s="122"/>
      <c r="Q4" s="89" t="s">
        <v>108</v>
      </c>
      <c r="R4" s="135">
        <f>Lähtötiedot!O16</f>
        <v>0</v>
      </c>
      <c r="S4" s="122"/>
      <c r="T4" s="122"/>
      <c r="V4" s="89" t="s">
        <v>108</v>
      </c>
      <c r="W4" s="161">
        <f>Lähtötiedot!S16</f>
        <v>0</v>
      </c>
      <c r="X4" s="122"/>
      <c r="Y4" s="122"/>
    </row>
    <row r="5" spans="1:25" x14ac:dyDescent="0.25">
      <c r="B5" s="89" t="s">
        <v>106</v>
      </c>
      <c r="C5" s="146">
        <f>Lähtötiedot!C18</f>
        <v>0</v>
      </c>
      <c r="G5" s="89" t="s">
        <v>106</v>
      </c>
      <c r="H5" s="135" t="e">
        <f ca="1">Lähtötiedot!G18</f>
        <v>#N/A</v>
      </c>
      <c r="I5" s="122"/>
      <c r="J5" s="40"/>
      <c r="L5" s="89" t="s">
        <v>106</v>
      </c>
      <c r="M5" s="146" t="e">
        <f ca="1">Lähtötiedot!K18</f>
        <v>#N/A</v>
      </c>
      <c r="N5" s="122"/>
      <c r="O5" s="122"/>
      <c r="Q5" s="89" t="s">
        <v>106</v>
      </c>
      <c r="R5" s="152" t="e">
        <f ca="1">Lähtötiedot!O18</f>
        <v>#N/A</v>
      </c>
      <c r="S5" s="122"/>
      <c r="T5" s="122"/>
      <c r="V5" s="89" t="s">
        <v>106</v>
      </c>
      <c r="W5" s="161" t="e">
        <f ca="1">Lähtötiedot!S18</f>
        <v>#N/A</v>
      </c>
      <c r="X5" s="122"/>
      <c r="Y5" s="122"/>
    </row>
    <row r="6" spans="1:25" s="40" customFormat="1" x14ac:dyDescent="0.25">
      <c r="A6" s="122"/>
      <c r="B6" s="89" t="s">
        <v>162</v>
      </c>
      <c r="C6" s="146">
        <f>Lähtötiedot!C17</f>
        <v>0</v>
      </c>
      <c r="G6" s="89" t="s">
        <v>162</v>
      </c>
      <c r="H6" s="135">
        <f>Lähtötiedot!G17</f>
        <v>0</v>
      </c>
      <c r="I6" s="122"/>
      <c r="L6" s="89" t="s">
        <v>162</v>
      </c>
      <c r="M6" s="135" t="e">
        <f ca="1">Lähtötiedot!K17</f>
        <v>#N/A</v>
      </c>
      <c r="N6" s="122"/>
      <c r="O6" s="122"/>
      <c r="Q6" s="89" t="s">
        <v>162</v>
      </c>
      <c r="R6" s="135" t="e">
        <f ca="1">Lähtötiedot!O17</f>
        <v>#N/A</v>
      </c>
      <c r="S6" s="122"/>
      <c r="T6" s="122"/>
      <c r="V6" s="89" t="s">
        <v>162</v>
      </c>
      <c r="W6" s="161" t="e">
        <f ca="1">Lähtötiedot!S17</f>
        <v>#N/A</v>
      </c>
      <c r="X6" s="122"/>
      <c r="Y6" s="122"/>
    </row>
    <row r="7" spans="1:25" s="122" customFormat="1" x14ac:dyDescent="0.25">
      <c r="B7" s="326" t="s">
        <v>278</v>
      </c>
      <c r="C7" s="329">
        <f>Lähtötiedot!C19</f>
        <v>0</v>
      </c>
      <c r="G7" s="326" t="s">
        <v>278</v>
      </c>
      <c r="H7" s="329" t="e">
        <f ca="1">Lähtötiedot!G19</f>
        <v>#DIV/0!</v>
      </c>
      <c r="L7" s="326" t="s">
        <v>278</v>
      </c>
      <c r="M7" s="329" t="e">
        <f ca="1">Lähtötiedot!K19</f>
        <v>#DIV/0!</v>
      </c>
      <c r="Q7" s="326" t="s">
        <v>278</v>
      </c>
      <c r="R7" s="329" t="e">
        <f>Lähtötiedot!O19</f>
        <v>#DIV/0!</v>
      </c>
      <c r="V7" s="326" t="s">
        <v>278</v>
      </c>
      <c r="W7" s="329" t="e">
        <f>Lähtötiedot!S19</f>
        <v>#DIV/0!</v>
      </c>
    </row>
    <row r="8" spans="1:25" s="40" customFormat="1" x14ac:dyDescent="0.25">
      <c r="A8" s="122"/>
      <c r="G8" s="122"/>
      <c r="H8" s="122"/>
      <c r="I8" s="122"/>
      <c r="L8" s="122"/>
      <c r="M8" s="122"/>
      <c r="N8" s="122"/>
      <c r="O8" s="122"/>
      <c r="Q8" s="122"/>
      <c r="R8" s="122"/>
      <c r="S8" s="122"/>
      <c r="T8" s="122"/>
      <c r="V8" s="122"/>
      <c r="W8" s="122"/>
      <c r="X8" s="122"/>
      <c r="Y8" s="122"/>
    </row>
    <row r="9" spans="1:25" x14ac:dyDescent="0.25">
      <c r="B9" s="89"/>
      <c r="C9" s="89" t="s">
        <v>102</v>
      </c>
      <c r="D9" s="89" t="s">
        <v>100</v>
      </c>
      <c r="E9" s="89" t="s">
        <v>112</v>
      </c>
      <c r="G9" s="89"/>
      <c r="H9" s="89" t="s">
        <v>102</v>
      </c>
      <c r="I9" s="89" t="s">
        <v>100</v>
      </c>
      <c r="J9" s="89" t="s">
        <v>85</v>
      </c>
      <c r="L9" s="89"/>
      <c r="M9" s="89" t="s">
        <v>102</v>
      </c>
      <c r="N9" s="89" t="s">
        <v>100</v>
      </c>
      <c r="O9" s="89" t="s">
        <v>85</v>
      </c>
      <c r="Q9" s="89"/>
      <c r="R9" s="89" t="s">
        <v>102</v>
      </c>
      <c r="S9" s="89" t="s">
        <v>100</v>
      </c>
      <c r="T9" s="89" t="s">
        <v>85</v>
      </c>
      <c r="V9" s="89"/>
      <c r="W9" s="89" t="s">
        <v>102</v>
      </c>
      <c r="X9" s="89" t="s">
        <v>100</v>
      </c>
      <c r="Y9" s="89" t="s">
        <v>85</v>
      </c>
    </row>
    <row r="10" spans="1:25" x14ac:dyDescent="0.25">
      <c r="B10" s="89" t="s">
        <v>25</v>
      </c>
      <c r="C10" s="424"/>
      <c r="D10" s="424"/>
      <c r="E10" s="91">
        <f>C10*D10</f>
        <v>0</v>
      </c>
      <c r="G10" s="89" t="s">
        <v>25</v>
      </c>
      <c r="H10" s="91">
        <f>C10</f>
        <v>0</v>
      </c>
      <c r="I10" s="91">
        <f>D10</f>
        <v>0</v>
      </c>
      <c r="J10" s="91">
        <f>H10*I10</f>
        <v>0</v>
      </c>
      <c r="L10" s="89" t="s">
        <v>25</v>
      </c>
      <c r="M10" s="58">
        <f>H10</f>
        <v>0</v>
      </c>
      <c r="N10" s="59">
        <f>I10</f>
        <v>0</v>
      </c>
      <c r="O10" s="60">
        <f>M10*N10</f>
        <v>0</v>
      </c>
      <c r="Q10" s="89" t="s">
        <v>25</v>
      </c>
      <c r="R10" s="58">
        <f>M10</f>
        <v>0</v>
      </c>
      <c r="S10" s="59">
        <f>N10</f>
        <v>0</v>
      </c>
      <c r="T10" s="60">
        <f>R10*S10</f>
        <v>0</v>
      </c>
      <c r="V10" s="89" t="s">
        <v>25</v>
      </c>
      <c r="W10" s="58">
        <f>R10</f>
        <v>0</v>
      </c>
      <c r="X10" s="59">
        <f>S10</f>
        <v>0</v>
      </c>
      <c r="Y10" s="60">
        <f>W10*X10</f>
        <v>0</v>
      </c>
    </row>
    <row r="11" spans="1:25" x14ac:dyDescent="0.25">
      <c r="B11" s="89" t="s">
        <v>26</v>
      </c>
      <c r="C11" s="424"/>
      <c r="D11" s="424"/>
      <c r="E11" s="91">
        <f>C11*D11</f>
        <v>0</v>
      </c>
      <c r="G11" s="89" t="s">
        <v>26</v>
      </c>
      <c r="H11" s="91">
        <f>C11</f>
        <v>0</v>
      </c>
      <c r="I11" s="91">
        <f>D11</f>
        <v>0</v>
      </c>
      <c r="J11" s="91">
        <f>H11*I11</f>
        <v>0</v>
      </c>
      <c r="L11" s="89" t="s">
        <v>26</v>
      </c>
      <c r="M11" s="63">
        <f>H11</f>
        <v>0</v>
      </c>
      <c r="N11" s="52">
        <f>I11</f>
        <v>0</v>
      </c>
      <c r="O11" s="64">
        <f>M11*N11</f>
        <v>0</v>
      </c>
      <c r="Q11" s="89" t="s">
        <v>26</v>
      </c>
      <c r="R11" s="63">
        <f>M11</f>
        <v>0</v>
      </c>
      <c r="S11" s="52">
        <f>N11</f>
        <v>0</v>
      </c>
      <c r="T11" s="64">
        <f>R11*S11</f>
        <v>0</v>
      </c>
      <c r="V11" s="89" t="s">
        <v>26</v>
      </c>
      <c r="W11" s="63">
        <f>R11</f>
        <v>0</v>
      </c>
      <c r="X11" s="52">
        <f>S11</f>
        <v>0</v>
      </c>
      <c r="Y11" s="64">
        <f>W11*X11</f>
        <v>0</v>
      </c>
    </row>
    <row r="12" spans="1:25" s="40" customFormat="1" x14ac:dyDescent="0.25">
      <c r="A12" s="122"/>
      <c r="G12" s="122"/>
      <c r="H12" s="122"/>
      <c r="I12" s="122"/>
      <c r="L12" s="122"/>
      <c r="M12" s="122"/>
      <c r="N12" s="122"/>
      <c r="O12" s="122"/>
      <c r="Q12" s="122"/>
      <c r="R12" s="122"/>
      <c r="S12" s="122"/>
      <c r="T12" s="122"/>
      <c r="V12" s="122"/>
      <c r="W12" s="122"/>
      <c r="X12" s="122"/>
      <c r="Y12" s="122"/>
    </row>
    <row r="13" spans="1:25" x14ac:dyDescent="0.25">
      <c r="B13" s="89" t="s">
        <v>103</v>
      </c>
      <c r="C13" s="142">
        <f>E10*C4</f>
        <v>0</v>
      </c>
      <c r="D13" s="122"/>
      <c r="G13" s="326" t="s">
        <v>103</v>
      </c>
      <c r="H13" s="142" t="e">
        <f ca="1">J10*H4</f>
        <v>#N/A</v>
      </c>
      <c r="I13" s="122"/>
      <c r="J13" s="122"/>
      <c r="L13" s="326" t="s">
        <v>103</v>
      </c>
      <c r="M13" s="142" t="e">
        <f ca="1">O10*M4</f>
        <v>#N/A</v>
      </c>
      <c r="N13" s="122"/>
      <c r="O13" s="122"/>
      <c r="Q13" s="326" t="s">
        <v>103</v>
      </c>
      <c r="R13" s="142">
        <f>T10*R4</f>
        <v>0</v>
      </c>
      <c r="S13" s="122"/>
      <c r="T13" s="122"/>
      <c r="V13" s="326" t="s">
        <v>103</v>
      </c>
      <c r="W13" s="142">
        <f>Y10*W4</f>
        <v>0</v>
      </c>
      <c r="X13" s="122"/>
      <c r="Y13" s="122"/>
    </row>
    <row r="14" spans="1:25" x14ac:dyDescent="0.25">
      <c r="B14" s="89" t="s">
        <v>104</v>
      </c>
      <c r="C14" s="330">
        <f>C6*E11</f>
        <v>0</v>
      </c>
      <c r="D14" s="122"/>
      <c r="G14" s="326" t="s">
        <v>104</v>
      </c>
      <c r="H14" s="330">
        <f>H6*J11</f>
        <v>0</v>
      </c>
      <c r="I14" s="122"/>
      <c r="J14" s="122"/>
      <c r="L14" s="326" t="s">
        <v>104</v>
      </c>
      <c r="M14" s="330" t="e">
        <f ca="1">M6*O11</f>
        <v>#N/A</v>
      </c>
      <c r="N14" s="122"/>
      <c r="O14" s="122"/>
      <c r="Q14" s="326" t="s">
        <v>104</v>
      </c>
      <c r="R14" s="330" t="e">
        <f ca="1">R6*T11</f>
        <v>#N/A</v>
      </c>
      <c r="S14" s="122"/>
      <c r="T14" s="122"/>
      <c r="V14" s="326" t="s">
        <v>104</v>
      </c>
      <c r="W14" s="330" t="e">
        <f ca="1">W6*Y11</f>
        <v>#N/A</v>
      </c>
      <c r="X14" s="122"/>
      <c r="Y14" s="122"/>
    </row>
    <row r="15" spans="1:25" x14ac:dyDescent="0.25">
      <c r="B15" s="89" t="s">
        <v>105</v>
      </c>
      <c r="C15" s="148">
        <f>SUM(C13:C14)</f>
        <v>0</v>
      </c>
      <c r="D15" s="122"/>
      <c r="G15" s="326" t="s">
        <v>105</v>
      </c>
      <c r="H15" s="148" t="e">
        <f ca="1">SUM(H13:H14)</f>
        <v>#N/A</v>
      </c>
      <c r="I15" s="122"/>
      <c r="J15" s="122"/>
      <c r="L15" s="326" t="s">
        <v>105</v>
      </c>
      <c r="M15" s="148" t="e">
        <f ca="1">SUM(M13:M14)</f>
        <v>#N/A</v>
      </c>
      <c r="N15" s="122"/>
      <c r="O15" s="122"/>
      <c r="Q15" s="326" t="s">
        <v>105</v>
      </c>
      <c r="R15" s="148" t="e">
        <f ca="1">SUM(R13:R14)</f>
        <v>#N/A</v>
      </c>
      <c r="S15" s="122"/>
      <c r="T15" s="122"/>
      <c r="V15" s="326" t="s">
        <v>105</v>
      </c>
      <c r="W15" s="148" t="e">
        <f ca="1">SUM(W13:W14)</f>
        <v>#N/A</v>
      </c>
      <c r="X15" s="122"/>
      <c r="Y15" s="122"/>
    </row>
    <row r="16" spans="1:25" x14ac:dyDescent="0.25">
      <c r="D16" s="122"/>
      <c r="G16" s="122"/>
      <c r="H16" s="122"/>
      <c r="I16" s="122"/>
      <c r="J16" s="122"/>
      <c r="L16" s="122"/>
      <c r="M16" s="122"/>
      <c r="N16" s="122"/>
      <c r="O16" s="122"/>
      <c r="Q16" s="122"/>
      <c r="R16" s="122"/>
      <c r="S16" s="122"/>
      <c r="T16" s="122"/>
      <c r="V16" s="122"/>
      <c r="W16" s="122"/>
      <c r="X16" s="122"/>
      <c r="Y16" s="122"/>
    </row>
    <row r="17" spans="1:28" s="121" customFormat="1" x14ac:dyDescent="0.25">
      <c r="A17" s="122"/>
      <c r="G17" s="122"/>
      <c r="H17" s="122"/>
      <c r="I17" s="122"/>
      <c r="J17" s="122"/>
      <c r="L17" s="122"/>
      <c r="M17" s="122"/>
      <c r="N17" s="122"/>
      <c r="O17" s="122"/>
      <c r="Q17" s="122"/>
      <c r="R17" s="122"/>
      <c r="S17" s="122"/>
      <c r="T17" s="122"/>
      <c r="V17" s="122"/>
      <c r="W17" s="122"/>
      <c r="X17" s="122"/>
      <c r="Y17" s="122"/>
    </row>
    <row r="18" spans="1:28" s="121" customFormat="1" x14ac:dyDescent="0.25">
      <c r="A18" s="122"/>
      <c r="B18" s="93" t="s">
        <v>107</v>
      </c>
      <c r="C18" s="332" t="s">
        <v>280</v>
      </c>
      <c r="D18" s="332" t="s">
        <v>281</v>
      </c>
      <c r="E18" s="332" t="s">
        <v>250</v>
      </c>
      <c r="G18" s="93" t="s">
        <v>107</v>
      </c>
      <c r="H18" s="332" t="s">
        <v>280</v>
      </c>
      <c r="I18" s="332" t="s">
        <v>281</v>
      </c>
      <c r="J18" s="332" t="s">
        <v>250</v>
      </c>
      <c r="L18" s="93" t="s">
        <v>107</v>
      </c>
      <c r="M18" s="332" t="s">
        <v>280</v>
      </c>
      <c r="N18" s="332" t="s">
        <v>281</v>
      </c>
      <c r="O18" s="332" t="s">
        <v>250</v>
      </c>
      <c r="Q18" s="93" t="s">
        <v>107</v>
      </c>
      <c r="R18" s="332" t="s">
        <v>280</v>
      </c>
      <c r="S18" s="332" t="s">
        <v>281</v>
      </c>
      <c r="T18" s="332" t="s">
        <v>250</v>
      </c>
      <c r="V18" s="93" t="s">
        <v>107</v>
      </c>
      <c r="W18" s="332" t="s">
        <v>280</v>
      </c>
      <c r="X18" s="332" t="s">
        <v>281</v>
      </c>
      <c r="Y18" s="332" t="s">
        <v>250</v>
      </c>
    </row>
    <row r="19" spans="1:28" s="121" customFormat="1" x14ac:dyDescent="0.25">
      <c r="A19" s="122"/>
      <c r="B19" s="424"/>
      <c r="C19" s="338">
        <f>Ruokinta!$D$53</f>
        <v>0</v>
      </c>
      <c r="D19" s="338">
        <f>B19*C19</f>
        <v>0</v>
      </c>
      <c r="E19" s="338">
        <f>D19*C5</f>
        <v>0</v>
      </c>
      <c r="G19" s="339">
        <f>$B$19</f>
        <v>0</v>
      </c>
      <c r="H19" s="338">
        <f>Ruokinta!$D$53</f>
        <v>0</v>
      </c>
      <c r="I19" s="338">
        <f>G19*H19</f>
        <v>0</v>
      </c>
      <c r="J19" s="262" t="e">
        <f ca="1">I19*H5</f>
        <v>#N/A</v>
      </c>
      <c r="L19" s="339">
        <f>$B$19</f>
        <v>0</v>
      </c>
      <c r="M19" s="338">
        <f>Ruokinta!$D$53</f>
        <v>0</v>
      </c>
      <c r="N19" s="338">
        <f>L19*M19</f>
        <v>0</v>
      </c>
      <c r="O19" s="262" t="e">
        <f ca="1">N19*M5</f>
        <v>#N/A</v>
      </c>
      <c r="Q19" s="339">
        <f>$B$19</f>
        <v>0</v>
      </c>
      <c r="R19" s="338">
        <f>Ruokinta!$D$53</f>
        <v>0</v>
      </c>
      <c r="S19" s="338">
        <f>Q19*R19</f>
        <v>0</v>
      </c>
      <c r="T19" s="262" t="e">
        <f ca="1">S19*R5</f>
        <v>#N/A</v>
      </c>
      <c r="V19" s="339">
        <f>$B$19</f>
        <v>0</v>
      </c>
      <c r="W19" s="338">
        <f>Ruokinta!$D$53</f>
        <v>0</v>
      </c>
      <c r="X19" s="338">
        <f>V19*W19</f>
        <v>0</v>
      </c>
      <c r="Y19" s="262" t="e">
        <f ca="1">X19*W5</f>
        <v>#N/A</v>
      </c>
    </row>
    <row r="20" spans="1:28" x14ac:dyDescent="0.25">
      <c r="B20" s="122"/>
      <c r="C20" s="122"/>
      <c r="D20" s="122"/>
      <c r="G20" s="122"/>
      <c r="H20" s="122"/>
      <c r="I20" s="122"/>
      <c r="J20" s="122"/>
      <c r="L20" s="122"/>
      <c r="M20" s="122"/>
      <c r="N20" s="122"/>
      <c r="O20" s="122"/>
      <c r="Q20" s="122"/>
      <c r="R20" s="122"/>
      <c r="S20" s="122"/>
      <c r="T20" s="122"/>
      <c r="V20" s="122"/>
      <c r="W20" s="122"/>
      <c r="X20" s="122"/>
      <c r="Y20" s="122"/>
    </row>
    <row r="21" spans="1:28" x14ac:dyDescent="0.25">
      <c r="B21" s="93" t="s">
        <v>279</v>
      </c>
      <c r="C21" s="328" t="s">
        <v>1</v>
      </c>
      <c r="D21" s="331" t="s">
        <v>85</v>
      </c>
      <c r="E21" s="122"/>
      <c r="G21" s="93" t="s">
        <v>279</v>
      </c>
      <c r="H21" s="328" t="s">
        <v>1</v>
      </c>
      <c r="I21" s="331" t="s">
        <v>85</v>
      </c>
      <c r="J21" s="122"/>
      <c r="L21" s="93" t="s">
        <v>279</v>
      </c>
      <c r="M21" s="328" t="s">
        <v>1</v>
      </c>
      <c r="N21" s="331" t="s">
        <v>85</v>
      </c>
      <c r="O21" s="122"/>
      <c r="Q21" s="93" t="s">
        <v>279</v>
      </c>
      <c r="R21" s="328" t="s">
        <v>1</v>
      </c>
      <c r="S21" s="331" t="s">
        <v>85</v>
      </c>
      <c r="T21" s="122"/>
      <c r="V21" s="93" t="s">
        <v>279</v>
      </c>
      <c r="W21" s="328" t="s">
        <v>1</v>
      </c>
      <c r="X21" s="331" t="s">
        <v>85</v>
      </c>
      <c r="Y21" s="122"/>
    </row>
    <row r="22" spans="1:28" x14ac:dyDescent="0.25">
      <c r="B22" s="424"/>
      <c r="C22" s="336">
        <f>C7</f>
        <v>0</v>
      </c>
      <c r="D22" s="337">
        <f>B22*C22</f>
        <v>0</v>
      </c>
      <c r="E22" s="122"/>
      <c r="G22" s="339">
        <f>$B$22</f>
        <v>0</v>
      </c>
      <c r="H22" s="336" t="e">
        <f ca="1">H7</f>
        <v>#DIV/0!</v>
      </c>
      <c r="I22" s="336" t="e">
        <f ca="1">G22*H22</f>
        <v>#DIV/0!</v>
      </c>
      <c r="J22" s="122"/>
      <c r="L22" s="339">
        <f>$B$22</f>
        <v>0</v>
      </c>
      <c r="M22" s="336" t="e">
        <f ca="1">M7</f>
        <v>#DIV/0!</v>
      </c>
      <c r="N22" s="336" t="e">
        <f ca="1">L22*M22</f>
        <v>#DIV/0!</v>
      </c>
      <c r="O22" s="122"/>
      <c r="Q22" s="339">
        <f>$B$22</f>
        <v>0</v>
      </c>
      <c r="R22" s="336" t="e">
        <f>R7</f>
        <v>#DIV/0!</v>
      </c>
      <c r="S22" s="336" t="e">
        <f>Q22*R22</f>
        <v>#DIV/0!</v>
      </c>
      <c r="T22" s="122"/>
      <c r="V22" s="339">
        <f>$B$22</f>
        <v>0</v>
      </c>
      <c r="W22" s="336" t="e">
        <f>W7</f>
        <v>#DIV/0!</v>
      </c>
      <c r="X22" s="336" t="e">
        <f>V22*W22</f>
        <v>#DIV/0!</v>
      </c>
      <c r="Y22" s="122"/>
    </row>
    <row r="24" spans="1:28" ht="15.75" thickBot="1" x14ac:dyDescent="0.3"/>
    <row r="25" spans="1:28" x14ac:dyDescent="0.25">
      <c r="Q25" s="380" t="s">
        <v>189</v>
      </c>
      <c r="R25" s="381"/>
      <c r="S25" s="381"/>
      <c r="T25" s="381"/>
      <c r="U25" s="381"/>
      <c r="V25" s="381"/>
      <c r="W25" s="381"/>
      <c r="X25" s="381"/>
      <c r="Y25" s="381"/>
      <c r="Z25" s="381"/>
      <c r="AA25" s="381"/>
      <c r="AB25" s="382"/>
    </row>
    <row r="26" spans="1:28" x14ac:dyDescent="0.25">
      <c r="Q26" s="383"/>
      <c r="R26" s="384"/>
      <c r="S26" s="384"/>
      <c r="T26" s="384"/>
      <c r="U26" s="384"/>
      <c r="V26" s="384"/>
      <c r="W26" s="384"/>
      <c r="X26" s="384"/>
      <c r="Y26" s="384"/>
      <c r="Z26" s="384"/>
      <c r="AA26" s="384"/>
      <c r="AB26" s="385"/>
    </row>
    <row r="27" spans="1:28" x14ac:dyDescent="0.25">
      <c r="Q27" s="383"/>
      <c r="R27" s="384"/>
      <c r="S27" s="384"/>
      <c r="T27" s="384"/>
      <c r="U27" s="384"/>
      <c r="V27" s="384"/>
      <c r="W27" s="384"/>
      <c r="X27" s="384"/>
      <c r="Y27" s="384"/>
      <c r="Z27" s="384"/>
      <c r="AA27" s="384"/>
      <c r="AB27" s="385"/>
    </row>
    <row r="28" spans="1:28" ht="15.75" thickBot="1" x14ac:dyDescent="0.3">
      <c r="Q28" s="386"/>
      <c r="R28" s="387"/>
      <c r="S28" s="387"/>
      <c r="T28" s="387"/>
      <c r="U28" s="387"/>
      <c r="V28" s="387"/>
      <c r="W28" s="387"/>
      <c r="X28" s="387"/>
      <c r="Y28" s="387"/>
      <c r="Z28" s="387"/>
      <c r="AA28" s="387"/>
      <c r="AB28" s="388"/>
    </row>
    <row r="29" spans="1:28" x14ac:dyDescent="0.25">
      <c r="R29" s="122"/>
      <c r="S29" s="122"/>
      <c r="T29" s="122"/>
      <c r="U29" s="122"/>
    </row>
    <row r="30" spans="1:28" x14ac:dyDescent="0.25">
      <c r="Q30" s="211" t="s">
        <v>224</v>
      </c>
      <c r="R30" s="122"/>
      <c r="S30" s="122"/>
      <c r="T30" s="122"/>
      <c r="U30" s="122"/>
      <c r="V30" s="211" t="s">
        <v>224</v>
      </c>
      <c r="X30" s="122"/>
      <c r="Y30" s="122"/>
    </row>
    <row r="31" spans="1:28" x14ac:dyDescent="0.25">
      <c r="Q31" s="211" t="s">
        <v>225</v>
      </c>
      <c r="R31" s="122"/>
      <c r="S31" s="122"/>
      <c r="T31" s="122"/>
      <c r="U31" s="122"/>
      <c r="V31" s="211" t="s">
        <v>226</v>
      </c>
      <c r="W31" s="122"/>
      <c r="X31" s="122"/>
      <c r="Y31" s="122"/>
    </row>
    <row r="32" spans="1:28" x14ac:dyDescent="0.25">
      <c r="Q32" s="89" t="s">
        <v>108</v>
      </c>
      <c r="R32" s="161">
        <f>Lähtötiedot!O43</f>
        <v>0</v>
      </c>
      <c r="S32" s="122"/>
      <c r="T32" s="122"/>
      <c r="U32" s="122"/>
      <c r="V32" s="89" t="s">
        <v>108</v>
      </c>
      <c r="W32" s="161">
        <f>Lähtötiedot!S43</f>
        <v>0</v>
      </c>
      <c r="X32" s="122"/>
      <c r="Y32" s="122"/>
    </row>
    <row r="33" spans="17:25" x14ac:dyDescent="0.25">
      <c r="Q33" s="89" t="s">
        <v>106</v>
      </c>
      <c r="R33" s="161" t="e">
        <f ca="1">Lähtötiedot!O45</f>
        <v>#N/A</v>
      </c>
      <c r="S33" s="122"/>
      <c r="T33" s="122"/>
      <c r="U33" s="122"/>
      <c r="V33" s="89" t="s">
        <v>106</v>
      </c>
      <c r="W33" s="161" t="e">
        <f ca="1">Lähtötiedot!S45</f>
        <v>#N/A</v>
      </c>
      <c r="X33" s="122"/>
      <c r="Y33" s="122"/>
    </row>
    <row r="34" spans="17:25" x14ac:dyDescent="0.25">
      <c r="Q34" s="89" t="s">
        <v>162</v>
      </c>
      <c r="R34" s="161" t="e">
        <f ca="1">Lähtötiedot!O44</f>
        <v>#N/A</v>
      </c>
      <c r="S34" s="122"/>
      <c r="T34" s="122"/>
      <c r="U34" s="122"/>
      <c r="V34" s="89" t="s">
        <v>162</v>
      </c>
      <c r="W34" s="161" t="e">
        <f ca="1">Lähtötiedot!S44</f>
        <v>#N/A</v>
      </c>
      <c r="X34" s="122"/>
      <c r="Y34" s="122"/>
    </row>
    <row r="35" spans="17:25" s="122" customFormat="1" x14ac:dyDescent="0.25">
      <c r="Q35" s="326" t="s">
        <v>278</v>
      </c>
      <c r="R35" s="329" t="e">
        <f>Lähtötiedot!O46</f>
        <v>#DIV/0!</v>
      </c>
      <c r="V35" s="326" t="s">
        <v>278</v>
      </c>
      <c r="W35" s="329" t="e">
        <f>Lähtötiedot!S46</f>
        <v>#DIV/0!</v>
      </c>
    </row>
    <row r="36" spans="17:25" x14ac:dyDescent="0.25">
      <c r="Q36" s="122"/>
      <c r="R36" s="122"/>
      <c r="S36" s="122"/>
      <c r="T36" s="122"/>
      <c r="U36" s="122"/>
      <c r="V36" s="122"/>
      <c r="W36" s="122"/>
      <c r="X36" s="122"/>
      <c r="Y36" s="122"/>
    </row>
    <row r="37" spans="17:25" x14ac:dyDescent="0.25">
      <c r="Q37" s="89"/>
      <c r="R37" s="89" t="s">
        <v>102</v>
      </c>
      <c r="S37" s="89" t="s">
        <v>100</v>
      </c>
      <c r="T37" s="89" t="s">
        <v>85</v>
      </c>
      <c r="U37" s="122"/>
      <c r="V37" s="89"/>
      <c r="W37" s="89" t="s">
        <v>102</v>
      </c>
      <c r="X37" s="89" t="s">
        <v>100</v>
      </c>
      <c r="Y37" s="89" t="s">
        <v>85</v>
      </c>
    </row>
    <row r="38" spans="17:25" x14ac:dyDescent="0.25">
      <c r="Q38" s="89" t="s">
        <v>25</v>
      </c>
      <c r="R38" s="58">
        <f>R10</f>
        <v>0</v>
      </c>
      <c r="S38" s="59">
        <f>S10</f>
        <v>0</v>
      </c>
      <c r="T38" s="60">
        <f>R38*S38</f>
        <v>0</v>
      </c>
      <c r="U38" s="122"/>
      <c r="V38" s="89" t="s">
        <v>25</v>
      </c>
      <c r="W38" s="58">
        <f>R38</f>
        <v>0</v>
      </c>
      <c r="X38" s="59">
        <f>S38</f>
        <v>0</v>
      </c>
      <c r="Y38" s="60">
        <f>W38*X38</f>
        <v>0</v>
      </c>
    </row>
    <row r="39" spans="17:25" x14ac:dyDescent="0.25">
      <c r="Q39" s="89" t="s">
        <v>26</v>
      </c>
      <c r="R39" s="63">
        <f>R11</f>
        <v>0</v>
      </c>
      <c r="S39" s="52">
        <f>S11</f>
        <v>0</v>
      </c>
      <c r="T39" s="64">
        <f>R39*S39</f>
        <v>0</v>
      </c>
      <c r="U39" s="122"/>
      <c r="V39" s="89" t="s">
        <v>26</v>
      </c>
      <c r="W39" s="63">
        <f>R39</f>
        <v>0</v>
      </c>
      <c r="X39" s="52">
        <f>S39</f>
        <v>0</v>
      </c>
      <c r="Y39" s="64">
        <f>W39*X39</f>
        <v>0</v>
      </c>
    </row>
    <row r="40" spans="17:25" x14ac:dyDescent="0.25">
      <c r="Q40" s="122"/>
      <c r="R40" s="122"/>
      <c r="S40" s="122"/>
      <c r="T40" s="122"/>
      <c r="U40" s="122"/>
      <c r="V40" s="122"/>
      <c r="W40" s="122"/>
      <c r="X40" s="122"/>
      <c r="Y40" s="122"/>
    </row>
    <row r="41" spans="17:25" x14ac:dyDescent="0.25">
      <c r="Q41" s="326" t="s">
        <v>103</v>
      </c>
      <c r="R41" s="142">
        <f>T38*R32</f>
        <v>0</v>
      </c>
      <c r="S41" s="122"/>
      <c r="T41" s="122"/>
      <c r="U41" s="122"/>
      <c r="V41" s="326" t="s">
        <v>103</v>
      </c>
      <c r="W41" s="142">
        <f>Y38*W32</f>
        <v>0</v>
      </c>
      <c r="X41" s="122"/>
      <c r="Y41" s="122"/>
    </row>
    <row r="42" spans="17:25" x14ac:dyDescent="0.25">
      <c r="Q42" s="326" t="s">
        <v>104</v>
      </c>
      <c r="R42" s="330" t="e">
        <f ca="1">R34*T39</f>
        <v>#N/A</v>
      </c>
      <c r="S42" s="122"/>
      <c r="T42" s="122"/>
      <c r="U42" s="122"/>
      <c r="V42" s="326" t="s">
        <v>104</v>
      </c>
      <c r="W42" s="330" t="e">
        <f ca="1">W34*Y39</f>
        <v>#N/A</v>
      </c>
      <c r="X42" s="122"/>
      <c r="Y42" s="122"/>
    </row>
    <row r="43" spans="17:25" x14ac:dyDescent="0.25">
      <c r="Q43" s="326" t="s">
        <v>105</v>
      </c>
      <c r="R43" s="148" t="e">
        <f ca="1">SUM(R41:R42)</f>
        <v>#N/A</v>
      </c>
      <c r="S43" s="122"/>
      <c r="T43" s="122"/>
      <c r="U43" s="122"/>
      <c r="V43" s="326" t="s">
        <v>105</v>
      </c>
      <c r="W43" s="148" t="e">
        <f ca="1">SUM(W41:W42)</f>
        <v>#N/A</v>
      </c>
      <c r="X43" s="122"/>
      <c r="Y43" s="122"/>
    </row>
    <row r="44" spans="17:25" x14ac:dyDescent="0.25">
      <c r="Q44" s="122"/>
      <c r="R44" s="122"/>
      <c r="S44" s="122"/>
      <c r="T44" s="122"/>
      <c r="U44" s="122"/>
      <c r="V44" s="122"/>
      <c r="W44" s="122"/>
      <c r="X44" s="122"/>
      <c r="Y44" s="122"/>
    </row>
    <row r="45" spans="17:25" x14ac:dyDescent="0.25">
      <c r="Q45" s="122"/>
      <c r="R45" s="122"/>
      <c r="S45" s="122"/>
      <c r="T45" s="122"/>
      <c r="U45" s="122"/>
      <c r="V45" s="122"/>
      <c r="W45" s="122"/>
      <c r="X45" s="122"/>
      <c r="Y45" s="122"/>
    </row>
    <row r="46" spans="17:25" x14ac:dyDescent="0.25">
      <c r="Q46" s="93" t="s">
        <v>107</v>
      </c>
      <c r="R46" s="332" t="s">
        <v>280</v>
      </c>
      <c r="S46" s="332" t="s">
        <v>281</v>
      </c>
      <c r="T46" s="332" t="s">
        <v>250</v>
      </c>
      <c r="U46" s="122"/>
      <c r="V46" s="93" t="s">
        <v>107</v>
      </c>
      <c r="W46" s="332" t="s">
        <v>280</v>
      </c>
      <c r="X46" s="332" t="s">
        <v>281</v>
      </c>
      <c r="Y46" s="332" t="s">
        <v>250</v>
      </c>
    </row>
    <row r="47" spans="17:25" x14ac:dyDescent="0.25">
      <c r="Q47" s="339">
        <f>$B$19</f>
        <v>0</v>
      </c>
      <c r="R47" s="338">
        <f>Ruokinta!$D$53</f>
        <v>0</v>
      </c>
      <c r="S47" s="338">
        <f>Q47*R47</f>
        <v>0</v>
      </c>
      <c r="T47" s="262" t="e">
        <f ca="1">S47*R33</f>
        <v>#N/A</v>
      </c>
      <c r="U47" s="122"/>
      <c r="V47" s="339">
        <f>$B$19</f>
        <v>0</v>
      </c>
      <c r="W47" s="338">
        <f>Ruokinta!$D$53</f>
        <v>0</v>
      </c>
      <c r="X47" s="338">
        <f>V47*W47</f>
        <v>0</v>
      </c>
      <c r="Y47" s="262" t="e">
        <f ca="1">X47*W33</f>
        <v>#N/A</v>
      </c>
    </row>
    <row r="48" spans="17:25" s="122" customFormat="1" x14ac:dyDescent="0.25"/>
    <row r="49" spans="16:25" x14ac:dyDescent="0.25">
      <c r="Q49" s="93" t="s">
        <v>279</v>
      </c>
      <c r="R49" s="328" t="s">
        <v>1</v>
      </c>
      <c r="S49" s="331" t="s">
        <v>85</v>
      </c>
      <c r="T49" s="122"/>
      <c r="U49" s="122"/>
      <c r="V49" s="93" t="s">
        <v>279</v>
      </c>
      <c r="W49" s="328" t="s">
        <v>1</v>
      </c>
      <c r="X49" s="331" t="s">
        <v>85</v>
      </c>
      <c r="Y49" s="122"/>
    </row>
    <row r="50" spans="16:25" x14ac:dyDescent="0.25">
      <c r="Q50" s="339">
        <f>$B$22</f>
        <v>0</v>
      </c>
      <c r="R50" s="336" t="e">
        <f>R35</f>
        <v>#DIV/0!</v>
      </c>
      <c r="S50" s="336" t="e">
        <f>Q50*R50</f>
        <v>#DIV/0!</v>
      </c>
      <c r="T50" s="122"/>
      <c r="U50" s="122"/>
      <c r="V50" s="339">
        <f>$B$22</f>
        <v>0</v>
      </c>
      <c r="W50" s="336" t="e">
        <f>W35</f>
        <v>#DIV/0!</v>
      </c>
      <c r="X50" s="336" t="e">
        <f>V50*W50</f>
        <v>#DIV/0!</v>
      </c>
      <c r="Y50" s="122"/>
    </row>
    <row r="51" spans="16:25" x14ac:dyDescent="0.25">
      <c r="P51" s="122"/>
      <c r="Q51" s="122"/>
      <c r="R51" s="122"/>
      <c r="S51" s="122"/>
      <c r="T51" s="122"/>
      <c r="U51" s="122"/>
      <c r="V51" s="122"/>
      <c r="W51" s="122"/>
      <c r="X51" s="122"/>
      <c r="Y51" s="122"/>
    </row>
    <row r="52" spans="16:25" x14ac:dyDescent="0.25">
      <c r="P52" s="122"/>
      <c r="Q52" s="122"/>
      <c r="R52" s="122"/>
      <c r="S52" s="122"/>
      <c r="T52" s="122"/>
      <c r="U52" s="122"/>
      <c r="V52" s="122"/>
      <c r="W52" s="122"/>
      <c r="X52" s="122"/>
      <c r="Y52" s="122"/>
    </row>
  </sheetData>
  <sheetProtection algorithmName="SHA-512" hashValue="h90vLiXylCbtgEgQnrl9zIwSIVcQc95fYY9vJoFcHLVCwyxCw1plnXPeSSxQ4AJ3lBN6Fill96/BQVTFdse1Sw==" saltValue="TBRDXdF2oe/GdllJZNf2xw==" spinCount="100000" sheet="1" objects="1" scenarios="1"/>
  <mergeCells count="1">
    <mergeCell ref="Q25:AB28"/>
  </mergeCells>
  <pageMargins left="0.7" right="0.7" top="0.75" bottom="0.75" header="0.3" footer="0.3"/>
  <pageSetup paperSize="9" orientation="portrait" horizontalDpi="300" verticalDpi="0" copies="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11</vt:i4>
      </vt:variant>
    </vt:vector>
  </HeadingPairs>
  <TitlesOfParts>
    <vt:vector size="11" baseType="lpstr">
      <vt:lpstr>Lähtötiedot</vt:lpstr>
      <vt:lpstr>Ruokinta</vt:lpstr>
      <vt:lpstr>Kasvuapu</vt:lpstr>
      <vt:lpstr>Tilan tarve</vt:lpstr>
      <vt:lpstr>Ruokinnan kustannukset</vt:lpstr>
      <vt:lpstr>Työkustannukset</vt:lpstr>
      <vt:lpstr>Kuivituskustannukset</vt:lpstr>
      <vt:lpstr>Uudistus &amp; muut kust.</vt:lpstr>
      <vt:lpstr>Myyntituotot</vt:lpstr>
      <vt:lpstr>Eläintuet &amp; palkkiot</vt:lpstr>
      <vt:lpstr>Katevertailu</vt:lpstr>
    </vt:vector>
  </TitlesOfParts>
  <Company>Savonia Ammattikorkeakoulu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Juho-Heikki a Kauppinen</dc:creator>
  <cp:lastModifiedBy>Juho-Heikki Kauppinen</cp:lastModifiedBy>
  <cp:lastPrinted>2015-12-01T07:14:49Z</cp:lastPrinted>
  <dcterms:created xsi:type="dcterms:W3CDTF">2015-11-30T08:23:31Z</dcterms:created>
  <dcterms:modified xsi:type="dcterms:W3CDTF">2016-09-18T16:27:37Z</dcterms:modified>
</cp:coreProperties>
</file>